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21" yWindow="65521" windowWidth="12120" windowHeight="603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Jaanus Silla</author>
  </authors>
  <commentList>
    <comment ref="I1" authorId="0">
      <text>
        <r>
          <rPr>
            <sz val="8"/>
            <rFont val="Tahoma"/>
            <family val="0"/>
          </rPr>
          <t xml:space="preserve">Stuudiod tegelevad eelkõige levitusega. Praegu on nii, et viiest nende levitatud filmist neli on toodetud väljastpoolt tuleva produtsendi poolt. Seetõttu oleks me nende kontoris igati teretulnud.
Mudeli mõned väljad on peidetud ja neid saab kasutada vaid operaator. 
KK - miljon
$ - USD
GBO - Gross Box Office, filmi brutosissetulek (=USAs ja Kanadas piletimüügist saadud summa) 
</t>
        </r>
      </text>
    </comment>
    <comment ref="D55" authorId="0">
      <text>
        <r>
          <rPr>
            <sz val="8"/>
            <rFont val="Tahoma"/>
            <family val="0"/>
          </rPr>
          <t>See on summa, mida film eeldatavasti teenib koduriigi kinodes, kuna võrreldavad filmid teenisid sellest kaks korda rohkem. Kui suudame produtseerida oma filmi poole väiksema summa eest, siis on hästi.
Kui olete kindel, et te film toob sisse sama palju kui võrreldavad filmid, pole vaja summat kahega jagada, nagu mina tegin. See tähendab, et ka eelarve kahekordistub, mis võib olla heaks näitajaks.</t>
        </r>
      </text>
    </comment>
    <comment ref="C28" authorId="0">
      <text>
        <r>
          <rPr>
            <sz val="8"/>
            <rFont val="Tahoma"/>
            <family val="0"/>
          </rPr>
          <t>Määratakse kui pool eeldatavast GBOst</t>
        </r>
      </text>
    </comment>
    <comment ref="G31" authorId="0">
      <text>
        <r>
          <rPr>
            <sz val="8"/>
            <rFont val="Tahoma"/>
            <family val="0"/>
          </rPr>
          <t>10% võimalus oli juba eelarvesse sisse arvestatud. See on veel teine ettearvamatute kulude 10% lisaks, mis tavaliselt juurde pannakse.</t>
        </r>
      </text>
    </comment>
    <comment ref="C31" authorId="0">
      <text>
        <r>
          <rPr>
            <sz val="8"/>
            <rFont val="Tahoma"/>
            <family val="0"/>
          </rPr>
          <t>Eelarve + tarnetagatis + teistkordsed ettearvamatud kulud = negatiivikulud</t>
        </r>
      </text>
    </comment>
    <comment ref="E31" authorId="0">
      <text>
        <r>
          <rPr>
            <sz val="8"/>
            <rFont val="Tahoma"/>
            <family val="0"/>
          </rPr>
          <t>Tarnetagatise kulu on 6% eelarvest. 3% makstakse harilikult tagasi pärast filmi üleandmist stuudiole.</t>
        </r>
      </text>
    </comment>
    <comment ref="C45" authorId="0">
      <text>
        <r>
          <rPr>
            <sz val="8"/>
            <rFont val="Tahoma"/>
            <family val="0"/>
          </rPr>
          <t xml:space="preserve">Eelmüügid ja vahe finantseerimine võrreldes negetiivikuludega. Selle produtseerimiseks vajaliku summa saamise pangast me tagame.
</t>
        </r>
      </text>
    </comment>
    <comment ref="C40" authorId="0">
      <text>
        <r>
          <rPr>
            <sz val="8"/>
            <rFont val="Tahoma"/>
            <family val="0"/>
          </rPr>
          <t xml:space="preserve">Reservakreditiivid aitavad rahastada filmide produktsiooni </t>
        </r>
      </text>
    </comment>
    <comment ref="E43" authorId="0">
      <text>
        <r>
          <rPr>
            <sz val="8"/>
            <rFont val="Tahoma"/>
            <family val="0"/>
          </rPr>
          <t xml:space="preserve">See hulk on eelmüügist puudu.
Teeme nii vähe eelmüüki kui võimalik, kuna lõpu poole müües on suuremad teenimisvõimalused.
Sel põhjusel kompenseerime teatud määral ka seda vahet.
</t>
        </r>
      </text>
    </comment>
    <comment ref="A33" authorId="0">
      <text>
        <r>
          <rPr>
            <sz val="8"/>
            <rFont val="Tahoma"/>
            <family val="0"/>
          </rPr>
          <t>Eelmüügid välisturgudel on % negatiivikuludest, mis pidevalt muutub.   US Network TV-l ja Premium CBL-l on kindlad suurused, mis muutuvad harva.</t>
        </r>
      </text>
    </comment>
    <comment ref="C77" authorId="0">
      <text>
        <r>
          <rPr>
            <sz val="8"/>
            <rFont val="Tahoma"/>
            <family val="0"/>
          </rPr>
          <t>Kogu summa antakse stuudiole, et:
1. tasuda panagalaen
2. tasuda üleüldised levituskulud
3. korraldada jõuline reklaamikampaania meedias
4. tasuda kinodele
5. toota sissetulekut 
6. anda osalised video õigused</t>
        </r>
      </text>
    </comment>
    <comment ref="D58" authorId="0">
      <text>
        <r>
          <rPr>
            <sz val="8"/>
            <rFont val="Tahoma"/>
            <family val="0"/>
          </rPr>
          <t xml:space="preserve">Summa, mille levitaja tegelikult piletimüügist teenib.
Filmi teenimist hoogustab stuudio levitusel koduturul.
Levitaja:
1. Tasub pangalaenu
2. Tasub koduriigis kinodesse levitamise kulud
3. Korraldab jõulise reklaamikampaania meedias
4. Tasub kinodele
</t>
        </r>
      </text>
    </comment>
    <comment ref="E48" authorId="0">
      <text>
        <r>
          <rPr>
            <sz val="8"/>
            <rFont val="Tahoma"/>
            <family val="0"/>
          </rPr>
          <t xml:space="preserve">Filmi sisenegatiivist tehakse trükid vastavalt nende kinode arvule, kus filmi linastatakse. Seda võib teha hiljem.
1,5 KK = 1200 trükki </t>
        </r>
      </text>
    </comment>
    <comment ref="D48" authorId="0">
      <text>
        <r>
          <rPr>
            <sz val="8"/>
            <rFont val="Tahoma"/>
            <family val="0"/>
          </rPr>
          <t>Filmi reklaamikampaania jaguneb trükimeedia reklaamiks ja telereklaamiks. Trükireklaami alla käivad nii välireklaamid (nt bussidel, bussipeatustes) kui ka sisereklaamid (nt postrid, ajakirjandus). Tähelepanu tuleb pöörata ka elektroonilisele meediale - raadiole ja internetile,
kuid TV reklaamiaega ostetakse vastavalt reklaamikajastuse ulatusele ja sagedusele. Sellele kulub 80% reklaamieelarvest.</t>
        </r>
      </text>
    </comment>
    <comment ref="E58" authorId="0">
      <text>
        <r>
          <rPr>
            <sz val="8"/>
            <rFont val="Tahoma"/>
            <family val="2"/>
          </rPr>
          <t xml:space="preserve">Video is shared by distributor actually grossing 35% and producer 20% the rest 45% is expenses. </t>
        </r>
      </text>
    </comment>
    <comment ref="E57" authorId="0">
      <text>
        <r>
          <rPr>
            <sz val="8"/>
            <rFont val="Tahoma"/>
            <family val="0"/>
          </rPr>
          <t>Peab andma 60% kogusummast stuudiole, endale jääb 40%</t>
        </r>
      </text>
    </comment>
    <comment ref="D54" authorId="0">
      <text>
        <r>
          <rPr>
            <sz val="8"/>
            <rFont val="Tahoma"/>
            <family val="0"/>
          </rPr>
          <t xml:space="preserve">Gross Box Office (filmi brutosissetulek), sama mis Domestic Theatrical </t>
        </r>
      </text>
    </comment>
    <comment ref="F54" authorId="0">
      <text>
        <r>
          <rPr>
            <sz val="8"/>
            <rFont val="Tahoma"/>
            <family val="0"/>
          </rPr>
          <t xml:space="preserve"> Ligikaudu 140% GBOst
Müüakse täispaketina - kõik õigused konkreetsele turule.
</t>
        </r>
      </text>
    </comment>
    <comment ref="E54" authorId="0">
      <text>
        <r>
          <rPr>
            <sz val="8"/>
            <rFont val="Tahoma"/>
            <family val="0"/>
          </rPr>
          <t>3 korda suurem kui GBO</t>
        </r>
      </text>
    </comment>
    <comment ref="H54" authorId="0">
      <text>
        <r>
          <rPr>
            <sz val="8"/>
            <rFont val="Tahoma"/>
            <family val="2"/>
          </rPr>
          <t xml:space="preserve">Heli
Romaanid
Näidendid
Tooted
Muusika
Internet
Lennukid
Merelaevad
Vanglad
Hotellid
Arvutimängud
Kuulamisraamatud
</t>
        </r>
      </text>
    </comment>
    <comment ref="I54" authorId="0">
      <text>
        <r>
          <rPr>
            <sz val="8"/>
            <rFont val="Tahoma"/>
            <family val="0"/>
          </rPr>
          <t>Järjed
Eelnevad 
TV-järjed 
- põhinevad originaalfilmil</t>
        </r>
      </text>
    </comment>
    <comment ref="G54" authorId="0">
      <text>
        <r>
          <rPr>
            <sz val="8"/>
            <rFont val="Tahoma"/>
            <family val="0"/>
          </rPr>
          <t>Premium Cable
Network Television
Sündikaat
Tasuline tellimine</t>
        </r>
      </text>
    </comment>
    <comment ref="E76" authorId="0">
      <text>
        <r>
          <rPr>
            <sz val="8"/>
            <rFont val="Tahoma"/>
            <family val="0"/>
          </rPr>
          <t xml:space="preserve">Üldiselt brutosissetulekute arvutamisel ei kasutata.
Kasutage seda kui lisavõimalust, arvestamaks potentsiaali, kuna me pole veel kindlad, kas hakkame mõnda neist meediaakendest müüma.
</t>
        </r>
      </text>
    </comment>
    <comment ref="E60" authorId="0">
      <text>
        <r>
          <rPr>
            <sz val="8"/>
            <rFont val="Tahoma"/>
            <family val="0"/>
          </rPr>
          <t>Peab andma 60% kogu video-sissetulekust ja jätma 40%
Selleks jätame Blockbuster Video ja anname ülejäänu ära.</t>
        </r>
      </text>
    </comment>
    <comment ref="E61" authorId="0">
      <text>
        <r>
          <rPr>
            <sz val="8"/>
            <rFont val="Tahoma"/>
            <family val="2"/>
          </rPr>
          <t>Video on jagatud levitaja poolt tuues sisse 35% brutost, produtsend saab 20% ja ülejääk 45% on kulutused</t>
        </r>
      </text>
    </comment>
    <comment ref="H60" authorId="0">
      <text>
        <r>
          <rPr>
            <sz val="8"/>
            <rFont val="Tahoma"/>
            <family val="0"/>
          </rPr>
          <t>Meie saame  65% kogusummast, kui müük on läinud väljastpoolt tulevale produtsendile.</t>
        </r>
      </text>
    </comment>
    <comment ref="G60" authorId="0">
      <text>
        <r>
          <rPr>
            <sz val="8"/>
            <rFont val="Tahoma"/>
            <family val="0"/>
          </rPr>
          <t>Õigused müüakse sündikaadile seitsmeks aastaks, seejärel jälle uuesti umbes sama summa eest.
Premium Cable'ile ja Network TV-le on hea eelmüüki teha.
Üle jääb sündikaat.</t>
        </r>
      </text>
    </comment>
    <comment ref="F60" authorId="0">
      <text>
        <r>
          <rPr>
            <sz val="8"/>
            <rFont val="Tahoma"/>
            <family val="0"/>
          </rPr>
          <t xml:space="preserve">Eelmüüdud välisturuõigused, mis on maha arvatud kogu välisturu brutosissetulekust. Meile jääb ülejäänud välisturgude brutosissetulek.
</t>
        </r>
      </text>
    </comment>
    <comment ref="D60" authorId="0">
      <text>
        <r>
          <rPr>
            <sz val="8"/>
            <rFont val="Tahoma"/>
            <family val="0"/>
          </rPr>
          <t>Anname kogu summa stuudiole</t>
        </r>
      </text>
    </comment>
    <comment ref="I60" authorId="0">
      <text>
        <r>
          <rPr>
            <sz val="8"/>
            <rFont val="Tahoma"/>
            <family val="0"/>
          </rPr>
          <t xml:space="preserve">Filmi peaosalised:
Pärast levitamist saadud brutosissetulek pannakse  peamis(t)e näitleja(te) jaoks kõrvale.
</t>
        </r>
      </text>
    </comment>
    <comment ref="F43" authorId="0">
      <text>
        <r>
          <rPr>
            <sz val="8"/>
            <rFont val="Tahoma"/>
            <family val="0"/>
          </rPr>
          <t>Filmitegemiseks garanteeritud summad peaks olema keskmise viiekohalise arvu võrra suurem kui negatiivikulud. See koefitsient on teatud %  negatiivikuludest.</t>
        </r>
      </text>
    </comment>
    <comment ref="G42" authorId="0">
      <text>
        <r>
          <rPr>
            <sz val="8"/>
            <rFont val="Tahoma"/>
            <family val="2"/>
          </rPr>
          <t>Määra koefitsient vastavalt eelarve suurusele:
10-20 KK = 4
20-30 KK = 2,5
30-40 KK = 1,8
40-50 KK = 0,9
50-60 KK = 0,4</t>
        </r>
      </text>
    </comment>
    <comment ref="I30" authorId="0">
      <text>
        <r>
          <rPr>
            <sz val="8"/>
            <rFont val="Tahoma"/>
            <family val="0"/>
          </rPr>
          <t xml:space="preserve">Näiteks kui negatiivikulu on kaks korda väiksem võimalikust sissetulekust, siis olen valmis riskima pisut rohkem ja suurendan teatud % võrra filmi eelarvet. </t>
        </r>
      </text>
    </comment>
    <comment ref="E42" authorId="0">
      <text>
        <r>
          <rPr>
            <sz val="8"/>
            <rFont val="Tahoma"/>
            <family val="0"/>
          </rPr>
          <t>Kui vahe on negatiivne, siis oleme teinud liiga palju eelmüüki ja puudub vajadus vahet finantseerida, kui me just ei otsusta teha vähem eelmüüki ja finantseerida 10-20% negatiivikuludest.</t>
        </r>
      </text>
    </comment>
    <comment ref="J60" authorId="0">
      <text>
        <r>
          <rPr>
            <sz val="8"/>
            <rFont val="Tahoma"/>
            <family val="2"/>
          </rPr>
          <t>%, mis pannakse produtsendi brutosissetulekust peamis(t)e osatäitja(te) jaoks kõrvale.</t>
        </r>
      </text>
    </comment>
    <comment ref="C61" authorId="0">
      <text>
        <r>
          <rPr>
            <sz val="8"/>
            <rFont val="Tahoma"/>
            <family val="0"/>
          </rPr>
          <t xml:space="preserve">Produtsendi brutosissetulek:
Kõik sellel real loetletud punktid +  
1. Sissetulek tootepaigutuselt
2. 50% tarnetagatise tagasimaksust - esimesel korral tagasi 40% 
3. Tagasi maksta vahe finantseerimine
</t>
        </r>
      </text>
    </comment>
    <comment ref="F57" authorId="0">
      <text>
        <r>
          <rPr>
            <sz val="8"/>
            <rFont val="Tahoma"/>
            <family val="0"/>
          </rPr>
          <t>Jääb produktsioonifilrmale</t>
        </r>
      </text>
    </comment>
    <comment ref="G57" authorId="0">
      <text>
        <r>
          <rPr>
            <sz val="8"/>
            <rFont val="Tahoma"/>
            <family val="0"/>
          </rPr>
          <t>Produktsioonifirma on müünud enamuse eelmüügina ja jätab endale ülejäänud TV-õigused.</t>
        </r>
      </text>
    </comment>
    <comment ref="H81" authorId="0">
      <text>
        <r>
          <rPr>
            <sz val="8"/>
            <rFont val="Tahoma"/>
            <family val="0"/>
          </rPr>
          <t xml:space="preserve">Standardne eelmüügi protsent negatiivikuludest. Seda ei tohiks muuta, kui teil pole just täiesti usaldusväärsest allikast saadud infot!
Mida suurem eelarve, seda suurem protsent.
See on üks põhjusi, miks eelarveid suureks aetakse.
</t>
        </r>
      </text>
    </comment>
    <comment ref="A82" authorId="0">
      <text>
        <r>
          <rPr>
            <sz val="8"/>
            <rFont val="Tahoma"/>
            <family val="0"/>
          </rPr>
          <t>Neid arve ei tohiks muuta, kui te just pole täiesti kindlad!</t>
        </r>
      </text>
    </comment>
    <comment ref="G16" authorId="0">
      <text>
        <r>
          <rPr>
            <sz val="8"/>
            <rFont val="Tahoma"/>
            <family val="0"/>
          </rPr>
          <t>Maksimum on 10 punkti
Loomingulisuse keskmine=ülemine rida+talent</t>
        </r>
      </text>
    </comment>
    <comment ref="A16" authorId="0">
      <text>
        <r>
          <rPr>
            <sz val="8"/>
            <rFont val="Tahoma"/>
            <family val="0"/>
          </rPr>
          <t>Sõltub järgmistest faktoritest:
1. Filmitööstuse standardite järgimine
2. Sihtvaatajaskonna suurus
3. P &amp; A ulatus meedias -  kui palju kulutatakse TV reklaamiajale, arvestades meediakajastuse ulatust ja sagedust
4. Peaosalis(t)e motivatsioon (osa, mille nad filmi kogutulust saavad)
5. Loo tugevus - kõigi osaliste usk projekti headusesse, mis loob aluse soodsale kõmureklaamile
6. Tarbetute kulutuste vältimine - koguperekomöödiad toovad hästi sisse ka ilma eriefektideta 
7. Eelarve ja brutosissetuleku suhte üldreegel - mida suurem eelarve, seda suurem sissetulek
 10 KK liiga väike, 80 KK kipub liiga suureks minema</t>
        </r>
      </text>
    </comment>
    <comment ref="D123" authorId="0">
      <text>
        <r>
          <rPr>
            <sz val="8"/>
            <rFont val="Tahoma"/>
            <family val="2"/>
          </rPr>
          <t>2 kummagi soo jaoks</t>
        </r>
      </text>
    </comment>
    <comment ref="D120" authorId="0">
      <text>
        <r>
          <rPr>
            <sz val="8"/>
            <rFont val="Tahoma"/>
            <family val="2"/>
          </rPr>
          <t>2 kummagi soo jaoks</t>
        </r>
      </text>
    </comment>
    <comment ref="D126" authorId="0">
      <text>
        <r>
          <rPr>
            <sz val="8"/>
            <rFont val="Tahoma"/>
            <family val="2"/>
          </rPr>
          <t>2 kummagi soo jaoks</t>
        </r>
        <r>
          <rPr>
            <sz val="8"/>
            <rFont val="Tahoma"/>
            <family val="0"/>
          </rPr>
          <t xml:space="preserve">
</t>
        </r>
      </text>
    </comment>
    <comment ref="D129" authorId="0">
      <text>
        <r>
          <rPr>
            <sz val="8"/>
            <rFont val="Tahoma"/>
            <family val="2"/>
          </rPr>
          <t>2 kummagi soo jaoks</t>
        </r>
        <r>
          <rPr>
            <sz val="8"/>
            <rFont val="Tahoma"/>
            <family val="0"/>
          </rPr>
          <t xml:space="preserve">
</t>
        </r>
      </text>
    </comment>
    <comment ref="D132" authorId="0">
      <text>
        <r>
          <rPr>
            <sz val="8"/>
            <rFont val="Tahoma"/>
            <family val="2"/>
          </rPr>
          <t>2 kummagi soo jaoks</t>
        </r>
        <r>
          <rPr>
            <sz val="8"/>
            <rFont val="Tahoma"/>
            <family val="0"/>
          </rPr>
          <t xml:space="preserve">
</t>
        </r>
      </text>
    </comment>
    <comment ref="I119" authorId="0">
      <text>
        <r>
          <rPr>
            <sz val="8"/>
            <rFont val="Tahoma"/>
            <family val="0"/>
          </rPr>
          <t>Näitab, milline protsent sellest vanusegrupist läheb tõenäoliselt seda filmi vaatama.  10 = 100 %</t>
        </r>
      </text>
    </comment>
    <comment ref="J119" authorId="0">
      <text>
        <r>
          <rPr>
            <sz val="8"/>
            <rFont val="Tahoma"/>
            <family val="0"/>
          </rPr>
          <t>Vaatajaskoor 5 vaatajasihtgrupi põhjal =
# aastaid selles vanusegrupis +  
ühest või mõlemast soost x 5 +
vaatajareiting +
kinokülastuste arv (vaatajate aktiivsus)+
selle vanusegrupi osakaal rahvastikus (rahvastikuregistri andmeil)
Kogusumma jagatakse seitsmega</t>
        </r>
      </text>
    </comment>
    <comment ref="G119" authorId="0">
      <text>
        <r>
          <rPr>
            <sz val="8"/>
            <rFont val="Tahoma"/>
            <family val="0"/>
          </rPr>
          <t xml:space="preserve">Keskmine kinokülastuste arv aastas </t>
        </r>
      </text>
    </comment>
    <comment ref="H119" authorId="0">
      <text>
        <r>
          <rPr>
            <sz val="8"/>
            <rFont val="Tahoma"/>
            <family val="0"/>
          </rPr>
          <t>Vaatajaskonnagruppide hulk USAs
(vastavalt USA statistikale)</t>
        </r>
      </text>
    </comment>
    <comment ref="C13" authorId="0">
      <text>
        <r>
          <rPr>
            <sz val="8"/>
            <rFont val="Tahoma"/>
            <family val="0"/>
          </rPr>
          <t>Kas filmis osaleb filmitööstuses tuntud tegijaid?
Mitu A-taseme näitlejat filmis osaleb? 
1 staar = 5
3 staari =10</t>
        </r>
      </text>
    </comment>
    <comment ref="G13" authorId="0">
      <text>
        <r>
          <rPr>
            <sz val="8"/>
            <rFont val="Tahoma"/>
            <family val="0"/>
          </rPr>
          <t># 1-10, vastavalt negatiivikuludele
1.     0,3-1 KK
2.      1-3  KK
3.     3-10 KK
4.   10-20 KK
5.   20-30 KK 
6.   30-40 KK
7.    40-50 KK
8.    50-60 KK 
9.    60-70 KK
10. 70-100KK
Kehtib üldine eelarve ja kogusissetulekute suhte reegel: mida suurem eelarve, seda suurem sissetulek. Vähema kui 20 KK eelarvega filmi eelmüük võib keeruliseks osutuda. Mõnes mõttes on suure eelarvega filmi kergem toota: pangad ja stuudiod eelistavad suuri eelarveid, kuna see võimaldab leida kalleid osatäitjaid ning lihtsustab turustamist.</t>
        </r>
      </text>
    </comment>
    <comment ref="F13" authorId="0">
      <text>
        <r>
          <rPr>
            <sz val="8"/>
            <rFont val="Tahoma"/>
            <family val="0"/>
          </rPr>
          <t xml:space="preserve">  1. - Esikohal filmitegija huvid
10. - Esikohal vaatajaskonna huvid
1.  Iseseisev kunstiline film
3.  Rohkelt riskantseid elemente sisaldav film
5. Mõlemat võrdselt
7. Suuremas osas järgib standardeid
10. Stuudio traditsioonilist valemit järgiv film</t>
        </r>
      </text>
    </comment>
    <comment ref="H13" authorId="0">
      <text>
        <r>
          <rPr>
            <sz val="8"/>
            <rFont val="Tahoma"/>
            <family val="0"/>
          </rPr>
          <t xml:space="preserve">Näitab, milline protsent kolmest peamisest vanusegrupist tõenäoliselt seda filmi vaatama läheb. 
 10 = 100 %
</t>
        </r>
      </text>
    </comment>
    <comment ref="D13" authorId="0">
      <text>
        <r>
          <rPr>
            <sz val="8"/>
            <rFont val="Tahoma"/>
            <family val="0"/>
          </rPr>
          <t>Sügav kontseptsioon
Meelelahutuslikkus
Jõulisus
Kaasakiskuvus
Details =A85</t>
        </r>
      </text>
    </comment>
    <comment ref="E13" authorId="0">
      <text>
        <r>
          <rPr>
            <sz val="8"/>
            <rFont val="Tahoma"/>
            <family val="0"/>
          </rPr>
          <t xml:space="preserve">Loo/karakterite järjepidevus
Loo terviklikkus
Võimalikud treilerisse sobivad lõigud
</t>
        </r>
      </text>
    </comment>
    <comment ref="A78" authorId="0">
      <text>
        <r>
          <rPr>
            <sz val="8"/>
            <rFont val="Tahoma"/>
            <family val="0"/>
          </rPr>
          <t>Kaasa arvatud DVDd
ja CDd</t>
        </r>
      </text>
    </comment>
    <comment ref="E80" authorId="0">
      <text>
        <r>
          <rPr>
            <sz val="8"/>
            <rFont val="Tahoma"/>
            <family val="0"/>
          </rPr>
          <t>Video on Demand (tellitav video)</t>
        </r>
      </text>
    </comment>
    <comment ref="E79" authorId="0">
      <text>
        <r>
          <rPr>
            <sz val="8"/>
            <rFont val="Tahoma"/>
            <family val="0"/>
          </rPr>
          <t>Pay Per View
(tasuline kanal)</t>
        </r>
      </text>
    </comment>
    <comment ref="C83" authorId="0">
      <text>
        <r>
          <rPr>
            <sz val="8"/>
            <rFont val="Tahoma"/>
            <family val="0"/>
          </rPr>
          <t>Harilikult 7 - aga hinnang on ettevaatlik</t>
        </r>
      </text>
    </comment>
    <comment ref="C84" authorId="0">
      <text>
        <r>
          <rPr>
            <sz val="8"/>
            <rFont val="Tahoma"/>
            <family val="0"/>
          </rPr>
          <t>Harilikult 7 - aga hinnang on ettevaatlik</t>
        </r>
      </text>
    </comment>
    <comment ref="I36" authorId="0">
      <text>
        <r>
          <rPr>
            <sz val="8"/>
            <rFont val="Tahoma"/>
            <family val="0"/>
          </rPr>
          <t>Ilmselt veel mitte järgmise 20 aasta jooksul</t>
        </r>
      </text>
    </comment>
    <comment ref="D33" authorId="0">
      <text>
        <r>
          <rPr>
            <sz val="8"/>
            <rFont val="Tahoma"/>
            <family val="0"/>
          </rPr>
          <t>Teatud piirkonna välja jätmiseks korrutasin selle koodi nulliga. Kui soovite  teisi piirkondi kasutada, lihtsalt kustutage 0.</t>
        </r>
      </text>
    </comment>
    <comment ref="G106" authorId="0">
      <text>
        <r>
          <rPr>
            <sz val="8"/>
            <rFont val="Tahoma"/>
            <family val="0"/>
          </rPr>
          <t>Vajalikud kostüümid,
kõne, kujundus, rekvisiidid</t>
        </r>
      </text>
    </comment>
    <comment ref="I106" authorId="0">
      <text>
        <r>
          <rPr>
            <sz val="8"/>
            <rFont val="Tahoma"/>
            <family val="0"/>
          </rPr>
          <t>Filmivõtete geograafiline asukoht
Kas tuleks usutavuse huvides filmida sobivas kohas kuskil kaugel või vastavates keerulistes oludes, näiteks vee all, džunglis jne?</t>
        </r>
      </text>
    </comment>
    <comment ref="E106" authorId="0">
      <text>
        <r>
          <rPr>
            <sz val="8"/>
            <rFont val="Tahoma"/>
            <family val="0"/>
          </rPr>
          <t>Väga peened konstruktsioonid, kõrgtehnoloogia kasutamise vajadus</t>
        </r>
      </text>
    </comment>
    <comment ref="C106" authorId="0">
      <text>
        <r>
          <rPr>
            <sz val="8"/>
            <rFont val="Tahoma"/>
            <family val="0"/>
          </rPr>
          <t xml:space="preserve">CGI (Computer Generated Imagery - arvutiga loodud pilt)
</t>
        </r>
      </text>
    </comment>
    <comment ref="A17" authorId="0">
      <text>
        <r>
          <rPr>
            <sz val="8"/>
            <rFont val="Tahoma"/>
            <family val="0"/>
          </rPr>
          <t>Detailid 90. real
Eriefektid
Tehnilised üksikasjad
Periood
Filmi võttepaik</t>
        </r>
      </text>
    </comment>
    <comment ref="D17" authorId="0">
      <text>
        <r>
          <rPr>
            <sz val="8"/>
            <rFont val="Tahoma"/>
            <family val="0"/>
          </rPr>
          <t>Madalam pole tingimata parem, juhul kui eelarve kajastab kulusid objektiivselt.
 Madalam # tähendab lihtsalt vähem tööd.  
# 1-10</t>
        </r>
      </text>
    </comment>
    <comment ref="C47" authorId="0">
      <text>
        <r>
          <rPr>
            <sz val="8"/>
            <rFont val="Tahoma"/>
            <family val="0"/>
          </rPr>
          <t>Stuudio kulud:
Stuudio peab hoolitsema trükiste ja reklaamide eest (hinnavahemikus $9,5 - 25 KK). 
See ei kuulu negatiivikulude alla, vaid on stuudio kohustus vastutasuks teatud levitusõiguste eest.</t>
        </r>
      </text>
    </comment>
    <comment ref="H49" authorId="0">
      <text>
        <r>
          <rPr>
            <sz val="8"/>
            <rFont val="Tahoma"/>
            <family val="2"/>
          </rPr>
          <t xml:space="preserve">Kolmanda osapoole toodete asetus filmi. Filmisisene reklaam
(Coke, American Express, Kalev)
Tavaliselt tähendab see produktsioonifirmale lisasissetulekut. Võib kokku leppida juba enne filmimise algust. Mõnikord kasutatakse eelarvepuudujäägi täitmiseks.
</t>
        </r>
      </text>
    </comment>
    <comment ref="I49" authorId="0">
      <text>
        <r>
          <rPr>
            <sz val="8"/>
            <rFont val="Tahoma"/>
            <family val="0"/>
          </rPr>
          <t>Filmitegelasi kujutavate mänguasjade turustus
Uued tehnoloogiad
See on samuti heaks reklaamiks juba enne filmi esilinastust.</t>
        </r>
      </text>
    </comment>
    <comment ref="F50" authorId="0">
      <text>
        <r>
          <rPr>
            <sz val="8"/>
            <rFont val="Tahoma"/>
            <family val="0"/>
          </rPr>
          <t>Rahastatakse produktsiooni eelatvest ning luuakse erinevaid sihtgruppe silmas pidades ja välisturgude jaoks.
Maksimaalne pikkus 30 sek.</t>
        </r>
      </text>
    </comment>
    <comment ref="G50" authorId="0">
      <text>
        <r>
          <rPr>
            <sz val="8"/>
            <rFont val="Tahoma"/>
            <family val="0"/>
          </rPr>
          <t xml:space="preserve">üheminutiline filmitutvustus, mida näidatakse kinodes
Rahastatakse ja toodetakse sageli kuus kuud enne filmi valmimist. </t>
        </r>
      </text>
    </comment>
    <comment ref="J50" authorId="0">
      <text>
        <r>
          <rPr>
            <sz val="8"/>
            <rFont val="Tahoma"/>
            <family val="0"/>
          </rPr>
          <t>Suuremad mängufilmid võivad tekitada huvi vastavate piirkondade vastu ning elavdada sealset äritegevust.
Vastav piirkond peaks selles osas palju ära tegema. 
Uus-Meremaa</t>
        </r>
      </text>
    </comment>
    <comment ref="H51" authorId="0">
      <text>
        <r>
          <rPr>
            <sz val="8"/>
            <rFont val="Tahoma"/>
            <family val="0"/>
          </rPr>
          <t>Arv näitab, kui hästi on võimalik tooteid filmi paigutada.
Mitmes kohas ja kui kaua on tooted nähtavad?
Tootjafirma suurus
Filmi eelarveline suurus. 
# 1-10</t>
        </r>
      </text>
    </comment>
    <comment ref="I51" authorId="0">
      <text>
        <r>
          <rPr>
            <sz val="8"/>
            <rFont val="Tahoma"/>
            <family val="0"/>
          </rPr>
          <t>Arv näitab nende filmiga seonduvate toodete hulka, mida oleks võimalik luua ja turustada.
# 1-10</t>
        </r>
      </text>
    </comment>
    <comment ref="G51" authorId="0">
      <text>
        <r>
          <rPr>
            <sz val="8"/>
            <rFont val="Tahoma"/>
            <family val="0"/>
          </rPr>
          <t>Treileri mõjuvus ja esialgne eelarve 
# 1-10</t>
        </r>
      </text>
    </comment>
    <comment ref="F51" authorId="0">
      <text>
        <r>
          <rPr>
            <sz val="8"/>
            <rFont val="Tahoma"/>
            <family val="0"/>
          </rPr>
          <t>7 = 70% sihtgrupist soovib seda vaatama minna.
Prognoosida reklaami ulatust ja sagedust vastavalt sihtgrupile.
Kui palju inimesi loevad seda kuulutust? Mitu korda nad seda loevad?
Ulatus - mitme %-ni sihtgrupist jõutakse
Sagedus - mitu korda üks inimene seda nägi
Peab olema vähemalt 80% ja  8 korda
Selles osas peetakse stuudioga levituskoosolekul läbirääkimisi.</t>
        </r>
      </text>
    </comment>
    <comment ref="J51" authorId="0">
      <text>
        <r>
          <rPr>
            <sz val="8"/>
            <rFont val="Tahoma"/>
            <family val="0"/>
          </rPr>
          <t>Kas see film annab edasi positiivset sõnumit, millega linn või piirkond tahaks end seostada?
Nii saaksid kasu mõlemad osapooled.
# 1-10</t>
        </r>
      </text>
    </comment>
    <comment ref="C51" authorId="0">
      <text>
        <r>
          <rPr>
            <sz val="8"/>
            <rFont val="Tahoma"/>
            <family val="0"/>
          </rPr>
          <t>1-10  kõigi turustuspiirkondade keskmine
P&amp;A x 2, kuna see on antud valemis kõige olulisem</t>
        </r>
      </text>
    </comment>
    <comment ref="G47" authorId="0">
      <text>
        <r>
          <rPr>
            <sz val="8"/>
            <rFont val="Tahoma"/>
            <family val="0"/>
          </rPr>
          <t xml:space="preserve"> Stuudioga sõlmitud P&amp;A 
lepingu maht
7.     7-9 KK
9.    9-12 KK
10. 12-24 KK</t>
        </r>
      </text>
    </comment>
    <comment ref="F1" authorId="0">
      <text>
        <r>
          <rPr>
            <sz val="8"/>
            <rFont val="Tahoma"/>
            <family val="0"/>
          </rPr>
          <t>Helesinine - täitke need lüngad mudeli kasutamiseks
Hall - muutke, kui olete kindel tööstuse näitajate muutuses
Roheline - ligipääs teisele lehele või dokumendile
Punane - negatiivne arv</t>
        </r>
      </text>
    </comment>
    <comment ref="J7" authorId="0">
      <text>
        <r>
          <rPr>
            <sz val="8"/>
            <rFont val="Tahoma"/>
            <family val="0"/>
          </rPr>
          <t>Varasemad näitajad + usaldusreiting filmitööstuses:  
# 1-10</t>
        </r>
      </text>
    </comment>
    <comment ref="D69" authorId="0">
      <text>
        <r>
          <rPr>
            <sz val="8"/>
            <rFont val="Tahoma"/>
            <family val="0"/>
          </rPr>
          <t>10% 50%-st
(kuna ettevõtte omanikud on 50/50 täisosanik ja usaldusosanik) - pärast seda, kui  $25 000 on jäetud täisosaniku jaoks tegevusresursside reservi.</t>
        </r>
      </text>
    </comment>
    <comment ref="C69" authorId="0">
      <text>
        <r>
          <rPr>
            <sz val="8"/>
            <rFont val="Tahoma"/>
            <family val="0"/>
          </rPr>
          <t>Kolme filmi netosissetuleku järgi sama, mis selle filmi eeldatav netosissetulek</t>
        </r>
      </text>
    </comment>
    <comment ref="I65" authorId="0">
      <text>
        <r>
          <rPr>
            <sz val="8"/>
            <rFont val="Tahoma"/>
            <family val="2"/>
          </rPr>
          <t>$ 1 KK</t>
        </r>
        <r>
          <rPr>
            <b/>
            <sz val="8"/>
            <rFont val="Tahoma"/>
            <family val="0"/>
          </rPr>
          <t xml:space="preserve">
</t>
        </r>
        <r>
          <rPr>
            <sz val="8"/>
            <rFont val="Tahoma"/>
            <family val="0"/>
          </rPr>
          <t xml:space="preserve">
See on maksimaalselt 504-pakkumise jaoks.
Sellest piisab kolm mängufilmi täielikuks arendamise.
Annab täieliku ligipääsu äritegemiseks USAs.
</t>
        </r>
      </text>
    </comment>
    <comment ref="C62" authorId="0">
      <text>
        <r>
          <rPr>
            <sz val="8"/>
            <rFont val="Tahoma"/>
            <family val="0"/>
          </rPr>
          <t>Kasutab nüüd 20% vähem produtseerimisfirma brutosissetulekut ja produtseerimisfirma otseseid levituskulutusi</t>
        </r>
      </text>
    </comment>
    <comment ref="I7" authorId="0">
      <text>
        <r>
          <rPr>
            <sz val="8"/>
            <rFont val="Tahoma"/>
            <family val="0"/>
          </rPr>
          <t xml:space="preserve">1. www.eagle-i.com
2. www.imdb.com
Kas nad oleks selle filmiga töötamiseks vabad või on nad juba mõne muu filmiga seotud:
www.exhibitorelations.com </t>
        </r>
      </text>
    </comment>
    <comment ref="H2" authorId="0">
      <text>
        <r>
          <rPr>
            <sz val="8"/>
            <rFont val="Tahoma"/>
            <family val="2"/>
          </rPr>
          <t xml:space="preserve">Alustame arendust järgmistest elementidest:
</t>
        </r>
        <r>
          <rPr>
            <sz val="8"/>
            <rFont val="Tahoma"/>
            <family val="0"/>
          </rPr>
          <t xml:space="preserve">
Idee
Sünopsis
Lähenemine teemale
Romaan
Stsenaarium
Mõni muu film
Lavastamine
Seriaal TVs
</t>
        </r>
      </text>
    </comment>
    <comment ref="J2" authorId="0">
      <text>
        <r>
          <rPr>
            <sz val="8"/>
            <rFont val="Tahoma"/>
            <family val="0"/>
          </rPr>
          <t>Esialgne kalkulatsioon, puudub tagatis</t>
        </r>
      </text>
    </comment>
    <comment ref="I2" authorId="0">
      <text>
        <r>
          <rPr>
            <sz val="8"/>
            <rFont val="Tahoma"/>
            <family val="2"/>
          </rPr>
          <t>Loominguliste elementide detailid</t>
        </r>
      </text>
    </comment>
    <comment ref="E88" authorId="0">
      <text>
        <r>
          <rPr>
            <sz val="8"/>
            <rFont val="Tahoma"/>
            <family val="0"/>
          </rPr>
          <t>Mittelineaarne - ei saa vaadata filmi algusest lõpuni.</t>
        </r>
      </text>
    </comment>
    <comment ref="E81" authorId="0">
      <text>
        <r>
          <rPr>
            <sz val="8"/>
            <rFont val="Tahoma"/>
            <family val="0"/>
          </rPr>
          <t>Toodete alla käivad tavaliselt ka interaktiivseid vorme puudutavad õigused
- siin on nad kõik eraldi välja toodud</t>
        </r>
      </text>
    </comment>
    <comment ref="A65" authorId="0">
      <text>
        <r>
          <rPr>
            <sz val="8"/>
            <rFont val="Tahoma"/>
            <family val="2"/>
          </rPr>
          <t xml:space="preserve">Head finantseerimisvõimalused:
Era-
Ettevõtte-
Valitsuse-
</t>
        </r>
        <r>
          <rPr>
            <b/>
            <sz val="8"/>
            <rFont val="Tahoma"/>
            <family val="0"/>
          </rPr>
          <t xml:space="preserve">
</t>
        </r>
        <r>
          <rPr>
            <sz val="8"/>
            <rFont val="Tahoma"/>
            <family val="2"/>
          </rPr>
          <t xml:space="preserve">Pangad ja filmitööstuse allüksused ei seo end iialgi väljastpoolt ettevõtet tulnud uustulnukate projektide arendamise rahastamisega. </t>
        </r>
      </text>
    </comment>
    <comment ref="A84" authorId="0">
      <text>
        <r>
          <rPr>
            <sz val="8"/>
            <rFont val="Tahoma"/>
            <family val="0"/>
          </rPr>
          <t>Kaks Premium Cable TV süsteemi:
(HBO) Home Box Office - Cinemax
Showtime - Movie Channel</t>
        </r>
      </text>
    </comment>
    <comment ref="A83" authorId="0">
      <text>
        <r>
          <rPr>
            <sz val="8"/>
            <rFont val="Tahoma"/>
            <family val="2"/>
          </rPr>
          <t xml:space="preserve">Fox
Warner TV
Paramount TV
Sony TV
4 konkureerivat võrku
</t>
        </r>
      </text>
    </comment>
    <comment ref="A85" authorId="0">
      <text>
        <r>
          <rPr>
            <sz val="8"/>
            <rFont val="Tahoma"/>
            <family val="0"/>
          </rPr>
          <t>Tasuta TV- ja kaabelkanalid: 
USA
TNT
Ülejäänud väiksemad kanalid</t>
        </r>
      </text>
    </comment>
    <comment ref="J57" authorId="0">
      <text>
        <r>
          <rPr>
            <sz val="8"/>
            <rFont val="Tahoma"/>
            <family val="0"/>
          </rPr>
          <t>Otsesed levituskulud
Peastuudio, kinolevitaja jaoks:
selle alla kuuluvad P&amp;A, kontorikulud, telefoniarved, töötasud, samuti filmi vahendamine - filmi toimetamine kinodesse.
Produtsent ei peaks seda ise tegema
Praegu kasutakase 26% P&amp;A eelarvest muudeks levituskuludeks.</t>
        </r>
      </text>
    </comment>
    <comment ref="A47" authorId="0">
      <text>
        <r>
          <rPr>
            <sz val="8"/>
            <rFont val="Tahoma"/>
            <family val="0"/>
          </rPr>
          <t>Eelkõige hõlmab filmle kaubamärgi loomist.</t>
        </r>
      </text>
    </comment>
    <comment ref="I57" authorId="0">
      <text>
        <r>
          <rPr>
            <sz val="8"/>
            <rFont val="Tahoma"/>
            <family val="0"/>
          </rPr>
          <t xml:space="preserve"> 50% GBOst on osa, mis tavaliselt suudiole jääb, kui linastaja saab 50%.
</t>
        </r>
      </text>
    </comment>
    <comment ref="D57" authorId="0">
      <text>
        <r>
          <rPr>
            <sz val="8"/>
            <rFont val="Tahoma"/>
            <family val="2"/>
          </rPr>
          <t>Peale OLK-i ja 35% GBO-st millest enamus läheb kino rendi maksmiseks, jääb  levitajale GBO-st alles 35%</t>
        </r>
      </text>
    </comment>
    <comment ref="H57" authorId="0">
      <text>
        <r>
          <rPr>
            <sz val="8"/>
            <rFont val="Tahoma"/>
            <family val="0"/>
          </rPr>
          <t xml:space="preserve">Mis on üle jäänud 'rentalitest' ja otsestest levituskuludest ja stuudio kinoketi/linastaja brutosissetuleku 35%-st.
Linastaja ja stuudio osade suhe on tavaliselt 50/50, aga on ka 25/75 (75% stuudiole)
</t>
        </r>
      </text>
    </comment>
    <comment ref="E19" authorId="0">
      <text>
        <r>
          <rPr>
            <sz val="8"/>
            <rFont val="Tahoma"/>
            <family val="0"/>
          </rPr>
          <t>Usaldusväärse tulemuse saamiseks valige filmid, mis pole vanemad kui viis aastat. Samuti vältige nii erakordselt edukaid ja ka läbikukkunud filme.
Võrreldavad filmid ja nende sissetulekud kinopiletite müügist (GBO) USAs leiad www.imdb.com</t>
        </r>
      </text>
    </comment>
    <comment ref="K60" authorId="0">
      <text>
        <r>
          <rPr>
            <sz val="8"/>
            <rFont val="Tahoma"/>
            <family val="0"/>
          </rPr>
          <t>Produktsioonifirma otsesed levituskulud -
kontor, töötasud, reisimine, üür, kommunikatsioon</t>
        </r>
      </text>
    </comment>
    <comment ref="B62" authorId="0">
      <text>
        <r>
          <rPr>
            <sz val="8"/>
            <rFont val="Tahoma"/>
            <family val="0"/>
          </rPr>
          <t>Produktsioonifirma netosissetulek pärast maksude ja kulude mahaarvamist.
70% produktsioonifirma brutotulust.</t>
        </r>
      </text>
    </comment>
    <comment ref="A109" authorId="0">
      <text>
        <r>
          <rPr>
            <sz val="8"/>
            <rFont val="Tahoma"/>
            <family val="0"/>
          </rPr>
          <t>Hinnangud 1-10</t>
        </r>
      </text>
    </comment>
    <comment ref="I107" authorId="0">
      <text>
        <r>
          <rPr>
            <sz val="8"/>
            <rFont val="Tahoma"/>
            <family val="0"/>
          </rPr>
          <t>10.  Schindler's List
3. It's a Wonderful Life
0. Mitte üldse
1. 
2. Minimaalselt
3. 
4
5. Keskmiselt
6.
7.
8.  Palju
9. 
10. Maksimaalselt</t>
        </r>
      </text>
    </comment>
    <comment ref="G107" authorId="0">
      <text>
        <r>
          <rPr>
            <sz val="8"/>
            <rFont val="Tahoma"/>
            <family val="2"/>
          </rPr>
          <t>10.  Amadeus
1. Patch Adams
0. Mitte üldse
1. 
2. Minimaalselt
3. 
4
5. Keskmiselt
6.
7.
8.  Palju
9. 
10. Maksimaalselt</t>
        </r>
      </text>
    </comment>
    <comment ref="E107" authorId="0">
      <text>
        <r>
          <rPr>
            <sz val="8"/>
            <rFont val="Tahoma"/>
            <family val="0"/>
          </rPr>
          <t>10.  Water World
2. Waking Ned 1998
0. Mitte üldse
1. 
2. Minimaalselt
3. 
4
5. Keskmiselt
6.
7.
8.  Palju
9. 
10. Maksimaalselt</t>
        </r>
      </text>
    </comment>
    <comment ref="C107" authorId="0">
      <text>
        <r>
          <rPr>
            <sz val="8"/>
            <rFont val="Tahoma"/>
            <family val="0"/>
          </rPr>
          <t>10.  The Star Wars. 
1. Howard's End
0. Mitte üldse
1. 
2. Minimaalselt
3. 
4
5. Keskmiselt
6.
7.
8.  Palju
9. 
10. Maksimaalselt</t>
        </r>
      </text>
    </comment>
    <comment ref="A11" authorId="0">
      <text>
        <r>
          <rPr>
            <b/>
            <sz val="8"/>
            <rFont val="Tahoma"/>
            <family val="0"/>
          </rPr>
          <t>Jaanus Silla:</t>
        </r>
        <r>
          <rPr>
            <sz val="8"/>
            <rFont val="Tahoma"/>
            <family val="0"/>
          </rPr>
          <t xml:space="preserve">
eeldatav, veel mitte kindlaks määratud</t>
        </r>
      </text>
    </comment>
    <comment ref="F106" authorId="0">
      <text>
        <r>
          <rPr>
            <sz val="8"/>
            <rFont val="Tahoma"/>
            <family val="2"/>
          </rPr>
          <t>Režii keerukus
Töötamine lastega
Töötamine loomadega</t>
        </r>
      </text>
    </comment>
    <comment ref="H106" authorId="0">
      <text>
        <r>
          <rPr>
            <sz val="8"/>
            <rFont val="Tahoma"/>
            <family val="0"/>
          </rPr>
          <t>Vajadus kaskadööri järele
Osatäitjate ja filmitegijate ohutus</t>
        </r>
      </text>
    </comment>
    <comment ref="D106" authorId="0">
      <text>
        <r>
          <rPr>
            <sz val="8"/>
            <rFont val="Tahoma"/>
            <family val="0"/>
          </rPr>
          <t>Kas tegu on muusikaliga?
On selles suuri kontserte?
Kas muusika on filmis juhtival kohal?</t>
        </r>
      </text>
    </comment>
    <comment ref="H42" authorId="0">
      <text>
        <r>
          <rPr>
            <sz val="8"/>
            <rFont val="Tahoma"/>
            <family val="0"/>
          </rPr>
          <t>Pangaintressid - % 
maksmisele kuuluvatest tekkepõhistest intressidest
Tavaliselt 50 ringis</t>
        </r>
      </text>
    </comment>
    <comment ref="I13" authorId="0">
      <text>
        <r>
          <rPr>
            <sz val="8"/>
            <rFont val="Tahoma"/>
            <family val="0"/>
          </rPr>
          <t>Vaatajaskoor:
Viiest vaadeldud sihtgrupist  kolme kõrgeima keskmine skoor
# aastaid selles vanusegrupis +  
ühest või mõlemast soost x 5 +
vaatajareiting +
kinokülastuste arv (vaatajate aktiivsus)+ selle vanusegrupi osakaal rahvastikus (rahvastikuregistri andmeil)
Kogusumma jagatakse seitsmega</t>
        </r>
      </text>
    </comment>
    <comment ref="F47" authorId="0">
      <text>
        <r>
          <rPr>
            <b/>
            <sz val="8"/>
            <rFont val="Tahoma"/>
            <family val="0"/>
          </rPr>
          <t>Jaanus Silla:</t>
        </r>
        <r>
          <rPr>
            <sz val="8"/>
            <rFont val="Tahoma"/>
            <family val="0"/>
          </rPr>
          <t xml:space="preserve">
# 1200 - 2400</t>
        </r>
      </text>
    </comment>
    <comment ref="D50" authorId="0">
      <text>
        <r>
          <rPr>
            <b/>
            <sz val="8"/>
            <rFont val="Tahoma"/>
            <family val="0"/>
          </rPr>
          <t>Jaanus Silla:</t>
        </r>
        <r>
          <rPr>
            <sz val="8"/>
            <rFont val="Tahoma"/>
            <family val="0"/>
          </rPr>
          <t xml:space="preserve">
Vähemalt 80% sihtgrupist peab vastavat filmilõiku nägema - sisesta 80</t>
        </r>
      </text>
    </comment>
    <comment ref="E51" authorId="0">
      <text>
        <r>
          <rPr>
            <b/>
            <sz val="8"/>
            <rFont val="Tahoma"/>
            <family val="0"/>
          </rPr>
          <t>Jaanus Silla:</t>
        </r>
        <r>
          <rPr>
            <sz val="8"/>
            <rFont val="Tahoma"/>
            <family val="0"/>
          </rPr>
          <t xml:space="preserve">
Mitu korda vaataja seda filmilõiku nägi?</t>
        </r>
      </text>
    </comment>
    <comment ref="D39" authorId="0">
      <text>
        <r>
          <rPr>
            <b/>
            <sz val="8"/>
            <rFont val="Tahoma"/>
            <family val="0"/>
          </rPr>
          <t>Jaanus Silla:</t>
        </r>
        <r>
          <rPr>
            <sz val="8"/>
            <rFont val="Tahoma"/>
            <family val="0"/>
          </rPr>
          <t xml:space="preserve">
Välismaisetest eelmüükidest võetakse maha 10%. Probleemi osaliseks lahenduseks on ülekannete tegemine Ungari kaudu.
Kodumaisetest eelmüükidest võetakse maha 20% </t>
        </r>
      </text>
    </comment>
    <comment ref="E39" authorId="0">
      <text>
        <r>
          <rPr>
            <sz val="8"/>
            <rFont val="Tahoma"/>
            <family val="0"/>
          </rPr>
          <t xml:space="preserve">Säästad suunates välismaa eelmüügitulu ülekanded  läbi Ungari.
Kui te ei kavatse ülekandeid teha läbi Ungari, siis tuleb siinne valem korrutada nulliga.
</t>
        </r>
      </text>
    </comment>
  </commentList>
</comments>
</file>

<file path=xl/sharedStrings.xml><?xml version="1.0" encoding="utf-8"?>
<sst xmlns="http://schemas.openxmlformats.org/spreadsheetml/2006/main" count="248" uniqueCount="189">
  <si>
    <t xml:space="preserve"> </t>
  </si>
  <si>
    <t>Video (V)</t>
  </si>
  <si>
    <t>GBO</t>
  </si>
  <si>
    <t>Net.TV</t>
  </si>
  <si>
    <t>P. CBL</t>
  </si>
  <si>
    <t>Video</t>
  </si>
  <si>
    <t>TV</t>
  </si>
  <si>
    <t>Internet</t>
  </si>
  <si>
    <t xml:space="preserve">   </t>
  </si>
  <si>
    <t xml:space="preserve">  </t>
  </si>
  <si>
    <t>VOD</t>
  </si>
  <si>
    <t>PPV</t>
  </si>
  <si>
    <t>Hong Kong</t>
  </si>
  <si>
    <t>N/A</t>
  </si>
  <si>
    <t>P&amp;A</t>
  </si>
  <si>
    <t>Rentals</t>
  </si>
  <si>
    <t>© 2003 Jaanus Silla</t>
  </si>
  <si>
    <t xml:space="preserve">1st </t>
  </si>
  <si>
    <t>2nd</t>
  </si>
  <si>
    <t xml:space="preserve">3rd </t>
  </si>
  <si>
    <t>4th</t>
  </si>
  <si>
    <t>5th</t>
  </si>
  <si>
    <t>…</t>
  </si>
  <si>
    <t>Pealkiri</t>
  </si>
  <si>
    <t>Kokkuvõttev lause</t>
  </si>
  <si>
    <t>Loomingulisus</t>
  </si>
  <si>
    <t>Esilinastus</t>
  </si>
  <si>
    <t>Kuupäev</t>
  </si>
  <si>
    <t>Aasta</t>
  </si>
  <si>
    <t>nimi</t>
  </si>
  <si>
    <t>Visuaal</t>
  </si>
  <si>
    <t>Omand</t>
  </si>
  <si>
    <t>Analüüs</t>
  </si>
  <si>
    <t>Eelarve</t>
  </si>
  <si>
    <t>Värvikood</t>
  </si>
  <si>
    <t>Plaanitav stsenarist:</t>
  </si>
  <si>
    <t>Plaanitav režissöör:</t>
  </si>
  <si>
    <t>Leia</t>
  </si>
  <si>
    <t>Pangatatavus</t>
  </si>
  <si>
    <t>Anded</t>
  </si>
  <si>
    <t>Loo energia</t>
  </si>
  <si>
    <t>Loo analüüs</t>
  </si>
  <si>
    <t>Valem</t>
  </si>
  <si>
    <t>Maksumus</t>
  </si>
  <si>
    <t>Tootmise raskusaste</t>
  </si>
  <si>
    <t>Loovate aspektide reiting - loomingulisuse keskmine</t>
  </si>
  <si>
    <t>Võrdlused</t>
  </si>
  <si>
    <t>Võrreldavad mängufilmid</t>
  </si>
  <si>
    <t>Tiim</t>
  </si>
  <si>
    <t>Summa</t>
  </si>
  <si>
    <t>FILMI FINANTSEERIMINE</t>
  </si>
  <si>
    <t>Eelmüügid</t>
  </si>
  <si>
    <t>Vahe finantseerimine</t>
  </si>
  <si>
    <t>Lõplik finantseering</t>
  </si>
  <si>
    <t>Ettearvamatu kulu 2</t>
  </si>
  <si>
    <t>Kohandus %</t>
  </si>
  <si>
    <t>Välismaine eelmüük</t>
  </si>
  <si>
    <t>Kodumaine eelmüük</t>
  </si>
  <si>
    <t>Jaapan</t>
  </si>
  <si>
    <t>Inglismaa</t>
  </si>
  <si>
    <t>Saksamaa</t>
  </si>
  <si>
    <t>Hispaania</t>
  </si>
  <si>
    <t>Itaalia</t>
  </si>
  <si>
    <t>Prantsusmaa</t>
  </si>
  <si>
    <t>Rootsi</t>
  </si>
  <si>
    <t>Austraalia</t>
  </si>
  <si>
    <t>Brasiilia</t>
  </si>
  <si>
    <t>Eesti</t>
  </si>
  <si>
    <t>Vahe on</t>
  </si>
  <si>
    <t>Lisa</t>
  </si>
  <si>
    <t>Koefitsient</t>
  </si>
  <si>
    <t>Vahe %</t>
  </si>
  <si>
    <t>Turustus</t>
  </si>
  <si>
    <t>Reklaam</t>
  </si>
  <si>
    <t>Reiting</t>
  </si>
  <si>
    <t>Keskmine</t>
  </si>
  <si>
    <t>Sagedus</t>
  </si>
  <si>
    <t>Ulatus</t>
  </si>
  <si>
    <t>TV Reklaam</t>
  </si>
  <si>
    <t>Treiler</t>
  </si>
  <si>
    <t>Toodete</t>
  </si>
  <si>
    <t>filmi asetus</t>
  </si>
  <si>
    <t>Filmiga seotud</t>
  </si>
  <si>
    <t>tooted</t>
  </si>
  <si>
    <t>Filmimispaiga promo.</t>
  </si>
  <si>
    <t>Tulud</t>
  </si>
  <si>
    <t>Peameediaakende summa</t>
  </si>
  <si>
    <t>Kaasnevad</t>
  </si>
  <si>
    <t>Põlvnevad</t>
  </si>
  <si>
    <t>Linastajad</t>
  </si>
  <si>
    <t>OLK-DDE</t>
  </si>
  <si>
    <t>Stuudio bruto</t>
  </si>
  <si>
    <t>Neto</t>
  </si>
  <si>
    <t>JPO</t>
  </si>
  <si>
    <t>JPO %</t>
  </si>
  <si>
    <t>Prod. OLK</t>
  </si>
  <si>
    <t>Filmi arendus</t>
  </si>
  <si>
    <t>Kasumi summa</t>
  </si>
  <si>
    <t>Algse investeeringu tagastus</t>
  </si>
  <si>
    <t>Summade kasutus</t>
  </si>
  <si>
    <t>Fail</t>
  </si>
  <si>
    <t>Peamised</t>
  </si>
  <si>
    <t>Televisioon</t>
  </si>
  <si>
    <t>Summad</t>
  </si>
  <si>
    <t xml:space="preserve">Põlvnevad </t>
  </si>
  <si>
    <t>Eelmüügi % vastavalt eelarvele</t>
  </si>
  <si>
    <t>Helirida</t>
  </si>
  <si>
    <t>Tooted</t>
  </si>
  <si>
    <t>Lennukid</t>
  </si>
  <si>
    <t>Vanglad</t>
  </si>
  <si>
    <t>Hotellid</t>
  </si>
  <si>
    <t>Näidendid</t>
  </si>
  <si>
    <t>Eelnevad</t>
  </si>
  <si>
    <t>TV-järjed</t>
  </si>
  <si>
    <t>Läbivaatlus ja loova elemendi jaotus</t>
  </si>
  <si>
    <t>Materjal</t>
  </si>
  <si>
    <t>Variandi kuupäev</t>
  </si>
  <si>
    <t>Esitaja</t>
  </si>
  <si>
    <t>Agent / Agentuur</t>
  </si>
  <si>
    <t>Lugeja</t>
  </si>
  <si>
    <t>Läbivaatuse kuupäev</t>
  </si>
  <si>
    <t>Lehekülgede arv</t>
  </si>
  <si>
    <t>Zanr</t>
  </si>
  <si>
    <t>Muusika</t>
  </si>
  <si>
    <t>Tehnilisus</t>
  </si>
  <si>
    <t>Ajastu</t>
  </si>
  <si>
    <t>Ohutus</t>
  </si>
  <si>
    <t>Loovad omadused</t>
  </si>
  <si>
    <t>Idee uudsus</t>
  </si>
  <si>
    <t>Meelelahutuslik  jõud</t>
  </si>
  <si>
    <t>Loo täielikkus</t>
  </si>
  <si>
    <t>Loo ja tegelaste järjepidevus</t>
  </si>
  <si>
    <t>Märgatavad treileri kohad</t>
  </si>
  <si>
    <t>Vaatajaskonna sihtgrupi analüüs</t>
  </si>
  <si>
    <t>Noored</t>
  </si>
  <si>
    <t>Täiskasvanud</t>
  </si>
  <si>
    <t>Lapsed</t>
  </si>
  <si>
    <t>Eakamad</t>
  </si>
  <si>
    <t>Eluaastast</t>
  </si>
  <si>
    <t>Eluaastani</t>
  </si>
  <si>
    <t>Külastatavus</t>
  </si>
  <si>
    <t>Skoor</t>
  </si>
  <si>
    <t>Rohkuse %</t>
  </si>
  <si>
    <t>Sihtgrupp</t>
  </si>
  <si>
    <t>Autor(id)</t>
  </si>
  <si>
    <t>Informatsioon</t>
  </si>
  <si>
    <t xml:space="preserve">Žanr / võtme sõnad </t>
  </si>
  <si>
    <t>Diskonto</t>
  </si>
  <si>
    <t>Näitlejad</t>
  </si>
  <si>
    <t>Filmi eeldatav sissetulek</t>
  </si>
  <si>
    <t>Vaat reiting</t>
  </si>
  <si>
    <t>Vaat skoor</t>
  </si>
  <si>
    <t>Tarnetagatis</t>
  </si>
  <si>
    <t>Negatiivikulud</t>
  </si>
  <si>
    <t>Tagasimakse</t>
  </si>
  <si>
    <t>Produtseerijafirma</t>
  </si>
  <si>
    <t>Lühiajalise investeeringu bruto</t>
  </si>
  <si>
    <t>Pikaajalise investeeringu bruto</t>
  </si>
  <si>
    <t>Kolme filmi arenduspakett vajab</t>
  </si>
  <si>
    <t>120% tagastust investeeritud summast esimesel aastal</t>
  </si>
  <si>
    <t>10% kolme filmi netost</t>
  </si>
  <si>
    <t>Tegevuskava</t>
  </si>
  <si>
    <t>Arendus detailides</t>
  </si>
  <si>
    <t>Filmi realiseerimise jaotus</t>
  </si>
  <si>
    <t>Kodused linastused (DT)</t>
  </si>
  <si>
    <t>Järjed</t>
  </si>
  <si>
    <t>Arvutimängud</t>
  </si>
  <si>
    <t>Merelaevad</t>
  </si>
  <si>
    <t>Kuulamisraamatud</t>
  </si>
  <si>
    <t>Romaanid</t>
  </si>
  <si>
    <t>Välisturud (FM)</t>
  </si>
  <si>
    <t>Televisioonivõrgud (NT)</t>
  </si>
  <si>
    <t>Sündikeeritud (SY)</t>
  </si>
  <si>
    <t>Peamine kaabel-TV (CBL)</t>
  </si>
  <si>
    <t>Filimivõtete periood</t>
  </si>
  <si>
    <t>Võttepaik</t>
  </si>
  <si>
    <t>Režii keerukus</t>
  </si>
  <si>
    <t>Eriefektid</t>
  </si>
  <si>
    <t>Teostusvajadused</t>
  </si>
  <si>
    <t>Kaasakiskuvus</t>
  </si>
  <si>
    <t>1 leht eelarv.</t>
  </si>
  <si>
    <t>Kodulinast.</t>
  </si>
  <si>
    <t>Välis-</t>
  </si>
  <si>
    <t>Finantseerimise vajadused</t>
  </si>
  <si>
    <t>Kokku</t>
  </si>
  <si>
    <t>Muusika turustamine</t>
  </si>
  <si>
    <t>Trükkide arv</t>
  </si>
  <si>
    <t>Filmitrükid</t>
  </si>
  <si>
    <t>Säästa U-ga</t>
  </si>
</sst>
</file>

<file path=xl/styles.xml><?xml version="1.0" encoding="utf-8"?>
<styleSheet xmlns="http://schemas.openxmlformats.org/spreadsheetml/2006/main">
  <numFmts count="4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K\K"/>
    <numFmt numFmtId="165" formatCode="\$#,##0.00,\K\K;\-\$#,##0.00,\K\K"/>
    <numFmt numFmtId="166" formatCode="\$#,###,,\K\K;\-\$#,###,,\K\K"/>
    <numFmt numFmtId="167" formatCode="\$0,000,,\K\K;\-\$0,000,,\K\K"/>
    <numFmt numFmtId="168" formatCode="\$0,\K\K"/>
    <numFmt numFmtId="169" formatCode="\$#,###.#,\K\K"/>
    <numFmt numFmtId="170" formatCode="\$#,###,\K\K;\-\$#,###,\K\K"/>
    <numFmt numFmtId="171" formatCode="\$#.#,\K\K"/>
    <numFmt numFmtId="172" formatCode="&quot;$&quot;#.#,\K\K"/>
    <numFmt numFmtId="173" formatCode="&quot;$&quot;#,###.00,\K\K"/>
    <numFmt numFmtId="174" formatCode="&quot;$&quot;###,#00,\K\K"/>
    <numFmt numFmtId="175" formatCode="&quot;$&quot;#,###,\K\K"/>
    <numFmt numFmtId="176" formatCode="\$#,##0\ _k_r\ \K\K;[Red]\-#,##0\ _k_r"/>
    <numFmt numFmtId="177" formatCode="\$##,###\ _k_r\ \K\K;[Red]\-##,###\ _k_r"/>
    <numFmt numFmtId="178" formatCode="\$##,###\ _k_r\K\K;[Red]\-##,###\ _k_r"/>
    <numFmt numFmtId="179" formatCode="\$##,###\ _k\r\K\K;[Red]\-##,###\ _k\r"/>
    <numFmt numFmtId="180" formatCode="###,##0.00\ &quot;kr&quot;;[Red]\-###,##0.00\ &quot;kr&quot;"/>
    <numFmt numFmtId="181" formatCode="0,%"/>
    <numFmt numFmtId="182" formatCode="#,%"/>
    <numFmt numFmtId="183" formatCode="###,%"/>
    <numFmt numFmtId="184" formatCode="###\ %"/>
    <numFmt numFmtId="185" formatCode="#\ %"/>
    <numFmt numFmtId="186" formatCode="##\ %"/>
    <numFmt numFmtId="187" formatCode="\ \%"/>
    <numFmt numFmtId="188" formatCode="#,\%"/>
    <numFmt numFmtId="189" formatCode="##,\%"/>
    <numFmt numFmtId="190" formatCode="#.00\ %"/>
    <numFmt numFmtId="191" formatCode="#.0\ %"/>
    <numFmt numFmtId="192" formatCode="\$##,###.#\ _k_r\K\K;[Red]\-##,###.#\ _k_r"/>
    <numFmt numFmtId="193" formatCode="0.0"/>
    <numFmt numFmtId="194" formatCode="\$##,###.#0\ _k_r\K\K;[Red]\-##,###.#\ _k_r"/>
    <numFmt numFmtId="195" formatCode="\$###,###\ _k_r\K\K;[Red]\-##,###.#\ _k_r"/>
    <numFmt numFmtId="196" formatCode="##,%"/>
    <numFmt numFmtId="197" formatCode="\-\$##,###.#\ _k_r\K\K;[Red]\-##,###.#\ _k_r"/>
    <numFmt numFmtId="198" formatCode="#&quot; &quot;?/2"/>
    <numFmt numFmtId="199" formatCode="##,###.\5\ _k_r;[Red]\-##,###.\5\ _k_r"/>
    <numFmt numFmtId="200" formatCode="##,###.#,_k_r;[Red]\-##,###.#,_k_r"/>
    <numFmt numFmtId="201" formatCode="#,###.#,_k_r;[Red]\-#,###.#,_k_r"/>
    <numFmt numFmtId="202" formatCode="##,###.#\ _k_r;[Red]\-#,###.#\ _k_r"/>
  </numFmts>
  <fonts count="21">
    <font>
      <sz val="10"/>
      <name val="Arial"/>
      <family val="0"/>
    </font>
    <font>
      <sz val="8"/>
      <name val="Tahoma"/>
      <family val="0"/>
    </font>
    <font>
      <b/>
      <sz val="8"/>
      <name val="Tahoma"/>
      <family val="0"/>
    </font>
    <font>
      <sz val="10"/>
      <color indexed="47"/>
      <name val="Arial"/>
      <family val="2"/>
    </font>
    <font>
      <sz val="10"/>
      <color indexed="56"/>
      <name val="Arial"/>
      <family val="2"/>
    </font>
    <font>
      <b/>
      <sz val="10"/>
      <color indexed="56"/>
      <name val="Arial"/>
      <family val="2"/>
    </font>
    <font>
      <b/>
      <sz val="10"/>
      <name val="Arial"/>
      <family val="2"/>
    </font>
    <font>
      <b/>
      <sz val="12"/>
      <color indexed="47"/>
      <name val="Arial"/>
      <family val="2"/>
    </font>
    <font>
      <sz val="10"/>
      <color indexed="9"/>
      <name val="Arial"/>
      <family val="2"/>
    </font>
    <font>
      <sz val="10"/>
      <color indexed="10"/>
      <name val="Arial"/>
      <family val="2"/>
    </font>
    <font>
      <b/>
      <sz val="10"/>
      <color indexed="47"/>
      <name val="Arial"/>
      <family val="2"/>
    </font>
    <font>
      <b/>
      <sz val="10"/>
      <color indexed="53"/>
      <name val="Arial"/>
      <family val="2"/>
    </font>
    <font>
      <b/>
      <i/>
      <sz val="16"/>
      <color indexed="52"/>
      <name val="Arial"/>
      <family val="2"/>
    </font>
    <font>
      <sz val="10"/>
      <color indexed="41"/>
      <name val="Arial"/>
      <family val="2"/>
    </font>
    <font>
      <b/>
      <sz val="10"/>
      <color indexed="9"/>
      <name val="Arial"/>
      <family val="2"/>
    </font>
    <font>
      <sz val="10"/>
      <color indexed="52"/>
      <name val="Arial"/>
      <family val="2"/>
    </font>
    <font>
      <sz val="10"/>
      <color indexed="18"/>
      <name val="Arial"/>
      <family val="2"/>
    </font>
    <font>
      <b/>
      <sz val="11"/>
      <color indexed="47"/>
      <name val="Arial"/>
      <family val="2"/>
    </font>
    <font>
      <b/>
      <i/>
      <sz val="10"/>
      <name val="Arial"/>
      <family val="2"/>
    </font>
    <font>
      <u val="single"/>
      <sz val="10"/>
      <color indexed="12"/>
      <name val="Arial"/>
      <family val="0"/>
    </font>
    <font>
      <b/>
      <sz val="8"/>
      <name val="Arial"/>
      <family val="2"/>
    </font>
  </fonts>
  <fills count="9">
    <fill>
      <patternFill/>
    </fill>
    <fill>
      <patternFill patternType="gray125"/>
    </fill>
    <fill>
      <patternFill patternType="solid">
        <fgColor indexed="56"/>
        <bgColor indexed="64"/>
      </patternFill>
    </fill>
    <fill>
      <patternFill patternType="solid">
        <fgColor indexed="47"/>
        <bgColor indexed="64"/>
      </patternFill>
    </fill>
    <fill>
      <patternFill patternType="solid">
        <fgColor indexed="52"/>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s>
  <borders count="4">
    <border>
      <left/>
      <right/>
      <top/>
      <bottom/>
      <diagonal/>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0" fontId="0" fillId="2" borderId="0" xfId="0" applyFill="1" applyAlignment="1">
      <alignment/>
    </xf>
    <xf numFmtId="0" fontId="3" fillId="2" borderId="0" xfId="0" applyFont="1" applyFill="1" applyAlignment="1">
      <alignment/>
    </xf>
    <xf numFmtId="0" fontId="4" fillId="3" borderId="0" xfId="0" applyFont="1" applyFill="1" applyAlignment="1">
      <alignment horizontal="center"/>
    </xf>
    <xf numFmtId="178" fontId="0" fillId="0" borderId="0" xfId="0" applyNumberFormat="1" applyAlignment="1">
      <alignment horizontal="center"/>
    </xf>
    <xf numFmtId="0" fontId="4" fillId="3" borderId="0" xfId="0" applyFont="1" applyFill="1" applyAlignment="1">
      <alignment/>
    </xf>
    <xf numFmtId="0" fontId="5" fillId="3" borderId="0" xfId="0" applyFont="1" applyFill="1" applyAlignment="1">
      <alignment/>
    </xf>
    <xf numFmtId="0" fontId="5" fillId="3" borderId="0" xfId="0" applyFont="1" applyFill="1" applyAlignment="1">
      <alignment horizontal="center"/>
    </xf>
    <xf numFmtId="178" fontId="5" fillId="3" borderId="0" xfId="0" applyNumberFormat="1" applyFont="1" applyFill="1" applyAlignment="1">
      <alignment horizontal="center"/>
    </xf>
    <xf numFmtId="192" fontId="4" fillId="3" borderId="0" xfId="0" applyNumberFormat="1" applyFont="1" applyFill="1" applyAlignment="1">
      <alignment horizontal="center"/>
    </xf>
    <xf numFmtId="0" fontId="7" fillId="2" borderId="0" xfId="0" applyFont="1" applyFill="1" applyAlignment="1">
      <alignment/>
    </xf>
    <xf numFmtId="195" fontId="0" fillId="0" borderId="0" xfId="0" applyNumberFormat="1" applyAlignment="1">
      <alignment/>
    </xf>
    <xf numFmtId="192" fontId="5" fillId="3" borderId="0" xfId="0" applyNumberFormat="1" applyFont="1" applyFill="1" applyAlignment="1">
      <alignment horizontal="center"/>
    </xf>
    <xf numFmtId="178" fontId="4" fillId="3" borderId="0" xfId="0" applyNumberFormat="1" applyFont="1" applyFill="1" applyAlignment="1">
      <alignment horizontal="center"/>
    </xf>
    <xf numFmtId="0" fontId="8" fillId="0" borderId="0" xfId="0" applyFont="1" applyAlignment="1">
      <alignment horizontal="center"/>
    </xf>
    <xf numFmtId="0" fontId="0" fillId="3" borderId="0" xfId="0" applyFill="1" applyAlignment="1">
      <alignment/>
    </xf>
    <xf numFmtId="192" fontId="3" fillId="2" borderId="0" xfId="0" applyNumberFormat="1" applyFont="1" applyFill="1" applyAlignment="1">
      <alignment/>
    </xf>
    <xf numFmtId="192" fontId="0" fillId="4" borderId="0" xfId="0" applyNumberFormat="1" applyFill="1" applyAlignment="1">
      <alignment/>
    </xf>
    <xf numFmtId="192" fontId="6" fillId="4" borderId="0" xfId="0" applyNumberFormat="1" applyFont="1" applyFill="1" applyAlignment="1">
      <alignment horizontal="center"/>
    </xf>
    <xf numFmtId="178" fontId="6" fillId="4" borderId="0" xfId="0" applyNumberFormat="1" applyFont="1" applyFill="1" applyAlignment="1">
      <alignment horizontal="center"/>
    </xf>
    <xf numFmtId="192" fontId="6" fillId="4" borderId="1" xfId="0" applyNumberFormat="1" applyFont="1" applyFill="1" applyBorder="1" applyAlignment="1">
      <alignment horizontal="right"/>
    </xf>
    <xf numFmtId="0" fontId="6" fillId="3" borderId="2" xfId="0" applyFont="1" applyFill="1" applyBorder="1" applyAlignment="1">
      <alignment horizontal="center"/>
    </xf>
    <xf numFmtId="0" fontId="0" fillId="4" borderId="0" xfId="0" applyFill="1" applyAlignment="1">
      <alignment/>
    </xf>
    <xf numFmtId="0" fontId="12" fillId="2" borderId="0" xfId="0" applyFont="1" applyFill="1" applyAlignment="1">
      <alignment/>
    </xf>
    <xf numFmtId="0" fontId="13" fillId="4" borderId="0" xfId="0" applyFont="1" applyFill="1" applyAlignment="1">
      <alignment/>
    </xf>
    <xf numFmtId="0" fontId="6" fillId="4" borderId="1" xfId="0" applyFont="1" applyFill="1" applyBorder="1" applyAlignment="1">
      <alignment horizontal="center"/>
    </xf>
    <xf numFmtId="0" fontId="3" fillId="2" borderId="0" xfId="0" applyFont="1" applyFill="1" applyAlignment="1">
      <alignment horizontal="left"/>
    </xf>
    <xf numFmtId="0" fontId="0" fillId="3" borderId="0" xfId="0" applyFill="1" applyAlignment="1">
      <alignment horizontal="center"/>
    </xf>
    <xf numFmtId="0" fontId="8" fillId="0" borderId="0" xfId="0" applyFont="1" applyFill="1" applyAlignment="1">
      <alignment/>
    </xf>
    <xf numFmtId="0" fontId="15" fillId="4" borderId="0" xfId="0" applyFont="1" applyFill="1" applyAlignment="1">
      <alignment horizontal="center"/>
    </xf>
    <xf numFmtId="192" fontId="10" fillId="2" borderId="0" xfId="0" applyNumberFormat="1" applyFont="1" applyFill="1" applyAlignment="1">
      <alignment/>
    </xf>
    <xf numFmtId="192" fontId="16" fillId="3" borderId="0" xfId="0" applyNumberFormat="1" applyFont="1" applyFill="1" applyAlignment="1">
      <alignment/>
    </xf>
    <xf numFmtId="192" fontId="5" fillId="3" borderId="0" xfId="0" applyNumberFormat="1" applyFont="1" applyFill="1" applyAlignment="1">
      <alignment/>
    </xf>
    <xf numFmtId="192" fontId="6" fillId="4" borderId="1" xfId="0" applyNumberFormat="1" applyFont="1" applyFill="1" applyBorder="1" applyAlignment="1">
      <alignment horizontal="center"/>
    </xf>
    <xf numFmtId="192" fontId="6" fillId="3" borderId="0" xfId="0" applyNumberFormat="1" applyFont="1" applyFill="1" applyAlignment="1">
      <alignment horizontal="center"/>
    </xf>
    <xf numFmtId="0" fontId="4" fillId="2" borderId="0" xfId="0" applyFont="1" applyFill="1" applyAlignment="1">
      <alignment/>
    </xf>
    <xf numFmtId="0" fontId="3" fillId="2" borderId="0" xfId="0" applyFont="1" applyFill="1" applyAlignment="1">
      <alignment horizontal="center"/>
    </xf>
    <xf numFmtId="0" fontId="13" fillId="2" borderId="0" xfId="0" applyFont="1" applyFill="1" applyAlignment="1">
      <alignment/>
    </xf>
    <xf numFmtId="0" fontId="4" fillId="3" borderId="0" xfId="0" applyFont="1" applyFill="1" applyAlignment="1">
      <alignment horizontal="left"/>
    </xf>
    <xf numFmtId="0" fontId="4" fillId="5" borderId="0" xfId="0" applyFont="1" applyFill="1" applyAlignment="1">
      <alignment horizontal="center"/>
    </xf>
    <xf numFmtId="0" fontId="15" fillId="4" borderId="0" xfId="0" applyNumberFormat="1" applyFont="1" applyFill="1" applyBorder="1" applyAlignment="1">
      <alignment horizontal="center"/>
    </xf>
    <xf numFmtId="0" fontId="6" fillId="4" borderId="1" xfId="0" applyNumberFormat="1" applyFont="1" applyFill="1" applyBorder="1" applyAlignment="1">
      <alignment horizontal="center"/>
    </xf>
    <xf numFmtId="0" fontId="5" fillId="4" borderId="0" xfId="0" applyFont="1" applyFill="1" applyAlignment="1">
      <alignment horizontal="left"/>
    </xf>
    <xf numFmtId="0" fontId="17" fillId="2" borderId="0" xfId="0" applyFont="1" applyFill="1" applyAlignment="1">
      <alignment/>
    </xf>
    <xf numFmtId="0" fontId="10" fillId="2" borderId="0" xfId="0" applyFont="1" applyFill="1" applyAlignment="1">
      <alignment horizontal="center"/>
    </xf>
    <xf numFmtId="0" fontId="3" fillId="2" borderId="0" xfId="0" applyFont="1" applyFill="1" applyAlignment="1">
      <alignment horizontal="right"/>
    </xf>
    <xf numFmtId="0" fontId="4" fillId="6" borderId="0" xfId="0" applyFont="1" applyFill="1" applyBorder="1" applyAlignment="1">
      <alignment horizontal="center"/>
    </xf>
    <xf numFmtId="0" fontId="4" fillId="5" borderId="0" xfId="0" applyNumberFormat="1" applyFont="1" applyFill="1" applyAlignment="1">
      <alignment horizontal="center"/>
    </xf>
    <xf numFmtId="0" fontId="0" fillId="7" borderId="0" xfId="0" applyFill="1" applyAlignment="1">
      <alignment/>
    </xf>
    <xf numFmtId="0" fontId="3" fillId="7" borderId="0" xfId="0" applyFont="1" applyFill="1" applyAlignment="1">
      <alignment/>
    </xf>
    <xf numFmtId="0" fontId="6" fillId="7" borderId="0" xfId="0" applyFont="1" applyFill="1" applyAlignment="1">
      <alignment horizontal="center"/>
    </xf>
    <xf numFmtId="0" fontId="14" fillId="7" borderId="0" xfId="0" applyFont="1" applyFill="1" applyAlignment="1">
      <alignment/>
    </xf>
    <xf numFmtId="0" fontId="0" fillId="7" borderId="0" xfId="0" applyFill="1" applyAlignment="1">
      <alignment horizontal="left"/>
    </xf>
    <xf numFmtId="0" fontId="8" fillId="7" borderId="0" xfId="0" applyFont="1" applyFill="1" applyAlignment="1">
      <alignment/>
    </xf>
    <xf numFmtId="0" fontId="13" fillId="7" borderId="0" xfId="0" applyFont="1" applyFill="1" applyAlignment="1">
      <alignment/>
    </xf>
    <xf numFmtId="0" fontId="8" fillId="7" borderId="0" xfId="0" applyFont="1" applyFill="1" applyAlignment="1">
      <alignment horizontal="center"/>
    </xf>
    <xf numFmtId="0" fontId="0" fillId="7" borderId="0" xfId="0" applyFill="1" applyAlignment="1">
      <alignment horizontal="center"/>
    </xf>
    <xf numFmtId="171" fontId="0" fillId="7" borderId="0" xfId="0" applyNumberFormat="1" applyFill="1" applyAlignment="1">
      <alignment/>
    </xf>
    <xf numFmtId="0" fontId="4" fillId="7" borderId="0" xfId="0" applyFont="1" applyFill="1" applyAlignment="1">
      <alignment/>
    </xf>
    <xf numFmtId="192" fontId="6" fillId="7" borderId="0" xfId="0" applyNumberFormat="1" applyFont="1" applyFill="1" applyAlignment="1">
      <alignment horizontal="right"/>
    </xf>
    <xf numFmtId="192" fontId="8" fillId="7" borderId="0" xfId="0" applyNumberFormat="1" applyFont="1" applyFill="1" applyAlignment="1">
      <alignment/>
    </xf>
    <xf numFmtId="178" fontId="0" fillId="7" borderId="0" xfId="0" applyNumberFormat="1" applyFill="1" applyAlignment="1">
      <alignment horizontal="right"/>
    </xf>
    <xf numFmtId="192" fontId="0" fillId="7" borderId="0" xfId="0" applyNumberFormat="1" applyFill="1" applyAlignment="1">
      <alignment/>
    </xf>
    <xf numFmtId="0" fontId="0" fillId="7" borderId="0" xfId="0" applyFill="1" applyAlignment="1">
      <alignment horizontal="right"/>
    </xf>
    <xf numFmtId="192" fontId="0" fillId="7" borderId="0" xfId="0" applyNumberFormat="1" applyFill="1" applyAlignment="1">
      <alignment horizontal="center"/>
    </xf>
    <xf numFmtId="192" fontId="6" fillId="7" borderId="0" xfId="0" applyNumberFormat="1" applyFont="1" applyFill="1" applyAlignment="1">
      <alignment horizontal="center"/>
    </xf>
    <xf numFmtId="0" fontId="8" fillId="7" borderId="0" xfId="0" applyNumberFormat="1" applyFont="1" applyFill="1" applyAlignment="1">
      <alignment horizontal="center"/>
    </xf>
    <xf numFmtId="178" fontId="0" fillId="7" borderId="0" xfId="0" applyNumberFormat="1" applyFill="1" applyAlignment="1">
      <alignment horizontal="center"/>
    </xf>
    <xf numFmtId="0" fontId="0" fillId="7" borderId="0" xfId="0" applyNumberFormat="1" applyFill="1" applyAlignment="1">
      <alignment horizontal="center"/>
    </xf>
    <xf numFmtId="0" fontId="8" fillId="7" borderId="0" xfId="0" applyNumberFormat="1" applyFont="1" applyFill="1" applyBorder="1" applyAlignment="1">
      <alignment horizontal="center"/>
    </xf>
    <xf numFmtId="192" fontId="6" fillId="7" borderId="0" xfId="0" applyNumberFormat="1" applyFont="1" applyFill="1" applyAlignment="1">
      <alignment/>
    </xf>
    <xf numFmtId="193" fontId="8" fillId="7" borderId="0" xfId="0" applyNumberFormat="1" applyFont="1" applyFill="1" applyAlignment="1">
      <alignment/>
    </xf>
    <xf numFmtId="197" fontId="9" fillId="7" borderId="0" xfId="0" applyNumberFormat="1" applyFont="1" applyFill="1" applyAlignment="1">
      <alignment/>
    </xf>
    <xf numFmtId="0" fontId="0" fillId="7" borderId="0" xfId="0" applyFont="1" applyFill="1" applyAlignment="1">
      <alignment/>
    </xf>
    <xf numFmtId="195" fontId="0" fillId="7" borderId="0" xfId="0" applyNumberFormat="1" applyFont="1" applyFill="1" applyAlignment="1">
      <alignment/>
    </xf>
    <xf numFmtId="197" fontId="9" fillId="7" borderId="0" xfId="0" applyNumberFormat="1" applyFont="1" applyFill="1" applyBorder="1" applyAlignment="1">
      <alignment horizontal="center"/>
    </xf>
    <xf numFmtId="197" fontId="9" fillId="7" borderId="0" xfId="0" applyNumberFormat="1" applyFont="1" applyFill="1" applyAlignment="1">
      <alignment horizontal="center"/>
    </xf>
    <xf numFmtId="0" fontId="0" fillId="2" borderId="0" xfId="0" applyFill="1" applyAlignment="1">
      <alignment horizontal="right"/>
    </xf>
    <xf numFmtId="0" fontId="10" fillId="2" borderId="0" xfId="0" applyFont="1" applyFill="1" applyAlignment="1">
      <alignment horizontal="left"/>
    </xf>
    <xf numFmtId="0" fontId="8" fillId="2" borderId="0" xfId="0" applyFont="1" applyFill="1" applyAlignment="1">
      <alignment/>
    </xf>
    <xf numFmtId="192" fontId="11" fillId="5" borderId="3" xfId="0" applyNumberFormat="1" applyFont="1" applyFill="1" applyBorder="1" applyAlignment="1">
      <alignment/>
    </xf>
    <xf numFmtId="0" fontId="4" fillId="7" borderId="0" xfId="0" applyFont="1" applyFill="1" applyAlignment="1">
      <alignment horizontal="center"/>
    </xf>
    <xf numFmtId="0" fontId="4" fillId="5" borderId="0" xfId="0" applyFont="1" applyFill="1" applyAlignment="1">
      <alignment/>
    </xf>
    <xf numFmtId="192" fontId="0" fillId="5" borderId="0" xfId="0" applyNumberFormat="1" applyFont="1" applyFill="1" applyAlignment="1">
      <alignment horizontal="right"/>
    </xf>
    <xf numFmtId="192" fontId="4" fillId="7" borderId="0" xfId="0" applyNumberFormat="1" applyFont="1" applyFill="1" applyAlignment="1">
      <alignment/>
    </xf>
    <xf numFmtId="192" fontId="4" fillId="7" borderId="0" xfId="0" applyNumberFormat="1" applyFont="1" applyFill="1" applyAlignment="1">
      <alignment horizontal="center"/>
    </xf>
    <xf numFmtId="178" fontId="4" fillId="7" borderId="0" xfId="0" applyNumberFormat="1" applyFont="1" applyFill="1" applyAlignment="1">
      <alignment horizontal="center"/>
    </xf>
    <xf numFmtId="192" fontId="4" fillId="5" borderId="0" xfId="0" applyNumberFormat="1" applyFont="1" applyFill="1" applyAlignment="1">
      <alignment horizontal="center"/>
    </xf>
    <xf numFmtId="0" fontId="5" fillId="4" borderId="0" xfId="0" applyFont="1" applyFill="1" applyAlignment="1">
      <alignment horizontal="center"/>
    </xf>
    <xf numFmtId="195" fontId="4" fillId="8" borderId="0" xfId="0" applyNumberFormat="1" applyFont="1" applyFill="1" applyAlignment="1">
      <alignment/>
    </xf>
    <xf numFmtId="192" fontId="4" fillId="8" borderId="0" xfId="0" applyNumberFormat="1" applyFont="1" applyFill="1" applyAlignment="1">
      <alignment/>
    </xf>
    <xf numFmtId="192" fontId="4" fillId="5" borderId="0" xfId="0" applyNumberFormat="1" applyFont="1" applyFill="1" applyAlignment="1">
      <alignment/>
    </xf>
    <xf numFmtId="0" fontId="4" fillId="8" borderId="0" xfId="0" applyFont="1" applyFill="1" applyAlignment="1">
      <alignment horizontal="center"/>
    </xf>
    <xf numFmtId="0" fontId="18" fillId="7" borderId="0" xfId="0" applyFont="1" applyFill="1" applyAlignment="1">
      <alignment horizontal="center"/>
    </xf>
    <xf numFmtId="0" fontId="4" fillId="0" borderId="0" xfId="0" applyFont="1" applyAlignment="1">
      <alignment/>
    </xf>
    <xf numFmtId="14" fontId="4" fillId="7" borderId="0" xfId="0" applyNumberFormat="1" applyFont="1" applyFill="1" applyAlignment="1">
      <alignment horizontal="left"/>
    </xf>
    <xf numFmtId="0" fontId="4" fillId="7" borderId="0" xfId="0" applyFont="1" applyFill="1" applyAlignment="1">
      <alignment horizontal="left"/>
    </xf>
    <xf numFmtId="0" fontId="6" fillId="5" borderId="0" xfId="0" applyFont="1" applyFill="1" applyAlignment="1">
      <alignment horizontal="center"/>
    </xf>
    <xf numFmtId="0" fontId="8" fillId="7" borderId="0" xfId="0" applyNumberFormat="1" applyFont="1" applyFill="1" applyAlignment="1">
      <alignment/>
    </xf>
    <xf numFmtId="0" fontId="4" fillId="6" borderId="0" xfId="0" applyFont="1" applyFill="1" applyAlignment="1">
      <alignment horizontal="center"/>
    </xf>
    <xf numFmtId="0" fontId="7" fillId="2" borderId="0" xfId="0" applyFont="1" applyFill="1" applyAlignment="1">
      <alignment horizontal="left"/>
    </xf>
    <xf numFmtId="0" fontId="5" fillId="3" borderId="0" xfId="0" applyFont="1" applyFill="1" applyAlignment="1">
      <alignment horizontal="left"/>
    </xf>
    <xf numFmtId="0" fontId="0" fillId="7" borderId="0" xfId="0" applyFill="1" applyAlignment="1">
      <alignment/>
    </xf>
    <xf numFmtId="0" fontId="5" fillId="7" borderId="0" xfId="0" applyFont="1" applyFill="1" applyAlignment="1">
      <alignment horizontal="center"/>
    </xf>
    <xf numFmtId="178" fontId="8" fillId="7" borderId="0" xfId="0" applyNumberFormat="1" applyFont="1" applyFill="1" applyAlignment="1">
      <alignment horizontal="center"/>
    </xf>
    <xf numFmtId="192" fontId="19" fillId="6" borderId="0" xfId="19" applyNumberFormat="1" applyFill="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quicksummer.com/exceldoc/Projections_in_504/resonaceactivityprojectionsJune.xls" TargetMode="External" /><Relationship Id="rId2" Type="http://schemas.openxmlformats.org/officeDocument/2006/relationships/hyperlink" Target="http://www.quicksummer.com/exceldoc/Projections_in_504/resonacecashflowprojectionsJune.xls"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42"/>
  <sheetViews>
    <sheetView tabSelected="1" zoomScale="85" zoomScaleNormal="85" workbookViewId="0" topLeftCell="A1">
      <selection activeCell="A1" sqref="A1"/>
    </sheetView>
  </sheetViews>
  <sheetFormatPr defaultColWidth="9.140625" defaultRowHeight="12.75"/>
  <cols>
    <col min="1" max="1" width="24.8515625" style="0" customWidth="1"/>
    <col min="2" max="2" width="6.00390625" style="0" customWidth="1"/>
    <col min="3" max="3" width="11.57421875" style="0" bestFit="1" customWidth="1"/>
    <col min="4" max="4" width="11.28125" style="0" bestFit="1" customWidth="1"/>
    <col min="5" max="5" width="11.57421875" style="0" bestFit="1" customWidth="1"/>
    <col min="6" max="6" width="11.421875" style="0" bestFit="1" customWidth="1"/>
    <col min="7" max="7" width="10.28125" style="0" bestFit="1" customWidth="1"/>
    <col min="8" max="8" width="10.8515625" style="0" bestFit="1" customWidth="1"/>
    <col min="9" max="9" width="12.140625" style="0" customWidth="1"/>
    <col min="10" max="10" width="11.28125" style="0" customWidth="1"/>
    <col min="11" max="11" width="9.8515625" style="0" bestFit="1" customWidth="1"/>
  </cols>
  <sheetData>
    <row r="1" spans="1:13" ht="20.25">
      <c r="A1" s="23" t="s">
        <v>23</v>
      </c>
      <c r="B1" s="1"/>
      <c r="C1" s="1"/>
      <c r="D1" s="1"/>
      <c r="E1" s="1"/>
      <c r="F1" s="44" t="s">
        <v>34</v>
      </c>
      <c r="G1" s="1"/>
      <c r="H1" s="15"/>
      <c r="I1" s="7" t="s">
        <v>145</v>
      </c>
      <c r="J1" s="15"/>
      <c r="K1" s="15"/>
      <c r="L1" s="48"/>
      <c r="M1" s="48"/>
    </row>
    <row r="2" spans="1:13" ht="12.75">
      <c r="A2" s="2" t="s">
        <v>24</v>
      </c>
      <c r="B2" s="48"/>
      <c r="C2" s="58" t="s">
        <v>22</v>
      </c>
      <c r="D2" s="58"/>
      <c r="E2" s="48"/>
      <c r="F2" s="48"/>
      <c r="G2" s="48"/>
      <c r="H2" s="3" t="s">
        <v>31</v>
      </c>
      <c r="I2" s="3" t="s">
        <v>32</v>
      </c>
      <c r="J2" s="3" t="s">
        <v>33</v>
      </c>
      <c r="K2" s="22"/>
      <c r="L2" s="48"/>
      <c r="M2" s="48"/>
    </row>
    <row r="3" spans="1:13" ht="15.75">
      <c r="A3" s="10"/>
      <c r="B3" s="48"/>
      <c r="C3" s="58"/>
      <c r="D3" s="58"/>
      <c r="E3" s="48"/>
      <c r="F3" s="48"/>
      <c r="G3" s="48"/>
      <c r="H3" s="46"/>
      <c r="I3" s="46"/>
      <c r="J3" s="46"/>
      <c r="K3" s="22"/>
      <c r="L3" s="48"/>
      <c r="M3" s="48"/>
    </row>
    <row r="4" spans="1:13" ht="12.75">
      <c r="A4" s="2"/>
      <c r="B4" s="48"/>
      <c r="C4" s="58"/>
      <c r="D4" s="58"/>
      <c r="E4" s="48"/>
      <c r="F4" s="48"/>
      <c r="G4" s="48"/>
      <c r="H4" s="3" t="s">
        <v>30</v>
      </c>
      <c r="I4" s="3" t="s">
        <v>48</v>
      </c>
      <c r="J4" s="3" t="s">
        <v>180</v>
      </c>
      <c r="K4" s="22"/>
      <c r="L4" s="48"/>
      <c r="M4" s="48"/>
    </row>
    <row r="5" spans="1:13" ht="12.75">
      <c r="A5" s="2"/>
      <c r="B5" s="48"/>
      <c r="C5" s="58"/>
      <c r="D5" s="58"/>
      <c r="E5" s="48"/>
      <c r="F5" s="48"/>
      <c r="G5" s="48"/>
      <c r="H5" s="46"/>
      <c r="I5" s="99"/>
      <c r="J5" s="99"/>
      <c r="K5" s="22"/>
      <c r="L5" s="48"/>
      <c r="M5" s="48"/>
    </row>
    <row r="6" spans="1:13" ht="15">
      <c r="A6" s="2" t="s">
        <v>146</v>
      </c>
      <c r="B6" s="48"/>
      <c r="C6" s="58" t="s">
        <v>22</v>
      </c>
      <c r="D6" s="58"/>
      <c r="E6" s="48"/>
      <c r="F6" s="48"/>
      <c r="G6" s="43" t="s">
        <v>39</v>
      </c>
      <c r="H6" s="2" t="s">
        <v>0</v>
      </c>
      <c r="I6" s="1"/>
      <c r="J6" s="1"/>
      <c r="K6" s="22"/>
      <c r="L6" s="48"/>
      <c r="M6" s="48"/>
    </row>
    <row r="7" spans="1:13" ht="12.75">
      <c r="A7" s="2"/>
      <c r="B7" s="48"/>
      <c r="C7" s="58"/>
      <c r="D7" s="58"/>
      <c r="E7" s="48"/>
      <c r="F7" s="48"/>
      <c r="G7" s="2"/>
      <c r="H7" s="2"/>
      <c r="I7" s="3" t="s">
        <v>37</v>
      </c>
      <c r="J7" s="3" t="s">
        <v>38</v>
      </c>
      <c r="K7" s="22"/>
      <c r="L7" s="48"/>
      <c r="M7" s="48"/>
    </row>
    <row r="8" spans="1:13" ht="12.75">
      <c r="A8" s="2"/>
      <c r="B8" s="48"/>
      <c r="C8" s="58"/>
      <c r="D8" s="58"/>
      <c r="E8" s="48"/>
      <c r="F8" s="48"/>
      <c r="G8" s="2" t="s">
        <v>35</v>
      </c>
      <c r="H8" s="2"/>
      <c r="I8" s="82" t="s">
        <v>29</v>
      </c>
      <c r="J8" s="39"/>
      <c r="K8" s="22"/>
      <c r="L8" s="48"/>
      <c r="M8" s="48"/>
    </row>
    <row r="9" spans="1:13" ht="12.75">
      <c r="A9" s="2"/>
      <c r="B9" s="48"/>
      <c r="C9" s="58"/>
      <c r="D9" s="58"/>
      <c r="E9" s="48"/>
      <c r="F9" s="48"/>
      <c r="G9" s="2"/>
      <c r="H9" s="2"/>
      <c r="I9" s="82" t="s">
        <v>22</v>
      </c>
      <c r="J9" s="39"/>
      <c r="K9" s="22"/>
      <c r="L9" s="48"/>
      <c r="M9" s="48"/>
    </row>
    <row r="10" spans="1:13" ht="12.75">
      <c r="A10" s="2"/>
      <c r="B10" s="48"/>
      <c r="C10" s="58"/>
      <c r="D10" s="58"/>
      <c r="E10" s="48"/>
      <c r="F10" s="48"/>
      <c r="G10" s="2" t="s">
        <v>36</v>
      </c>
      <c r="H10" s="2"/>
      <c r="I10" s="82" t="s">
        <v>22</v>
      </c>
      <c r="J10" s="39"/>
      <c r="K10" s="22"/>
      <c r="L10" s="48"/>
      <c r="M10" s="48"/>
    </row>
    <row r="11" spans="1:13" ht="12.75">
      <c r="A11" s="2" t="s">
        <v>26</v>
      </c>
      <c r="B11" s="49"/>
      <c r="C11" s="39" t="s">
        <v>27</v>
      </c>
      <c r="D11" s="39" t="s">
        <v>28</v>
      </c>
      <c r="E11" s="48"/>
      <c r="F11" s="48"/>
      <c r="G11" s="2"/>
      <c r="H11" s="2"/>
      <c r="I11" s="82" t="s">
        <v>22</v>
      </c>
      <c r="J11" s="39"/>
      <c r="K11" s="22"/>
      <c r="L11" s="48"/>
      <c r="M11" s="48"/>
    </row>
    <row r="12" spans="1:13" ht="12.75">
      <c r="A12" s="2"/>
      <c r="B12" s="48"/>
      <c r="C12" s="48"/>
      <c r="D12" s="48"/>
      <c r="E12" s="48"/>
      <c r="F12" s="48"/>
      <c r="G12" s="48"/>
      <c r="H12" s="48"/>
      <c r="I12" s="55">
        <f>(J120+J123+J126)/3</f>
        <v>6</v>
      </c>
      <c r="J12" s="50">
        <f>ROUND(J13,0)</f>
        <v>0</v>
      </c>
      <c r="K12" s="22"/>
      <c r="L12" s="48"/>
      <c r="M12" s="48"/>
    </row>
    <row r="13" spans="1:13" ht="15.75">
      <c r="A13" s="10" t="s">
        <v>25</v>
      </c>
      <c r="B13" s="48"/>
      <c r="C13" s="3" t="s">
        <v>148</v>
      </c>
      <c r="D13" s="3" t="s">
        <v>40</v>
      </c>
      <c r="E13" s="3" t="s">
        <v>41</v>
      </c>
      <c r="F13" s="3" t="s">
        <v>42</v>
      </c>
      <c r="G13" s="3" t="s">
        <v>43</v>
      </c>
      <c r="H13" s="5" t="s">
        <v>150</v>
      </c>
      <c r="I13" s="3" t="s">
        <v>151</v>
      </c>
      <c r="J13" s="28">
        <f>SUM(J8:J11)/4</f>
        <v>0</v>
      </c>
      <c r="K13" s="22"/>
      <c r="L13" s="48"/>
      <c r="M13" s="48"/>
    </row>
    <row r="14" spans="1:13" ht="12.75">
      <c r="A14" s="2"/>
      <c r="B14" s="48"/>
      <c r="C14" s="97"/>
      <c r="D14" s="50">
        <f>ROUND(D15,0)</f>
        <v>0</v>
      </c>
      <c r="E14" s="50">
        <f>ROUND(E15,0)</f>
        <v>0</v>
      </c>
      <c r="F14" s="97"/>
      <c r="G14" s="97"/>
      <c r="H14" s="50">
        <f>ROUND(I127,0)</f>
        <v>0</v>
      </c>
      <c r="I14" s="50">
        <f>ROUND(I12,0)</f>
        <v>6</v>
      </c>
      <c r="J14" s="51"/>
      <c r="K14" s="22"/>
      <c r="L14" s="48"/>
      <c r="M14" s="48"/>
    </row>
    <row r="15" spans="1:13" ht="13.5" thickBot="1">
      <c r="A15" s="2"/>
      <c r="B15" s="48"/>
      <c r="C15" s="52"/>
      <c r="D15" s="53">
        <f>(D110+D112+D114)/3</f>
        <v>0</v>
      </c>
      <c r="E15" s="53">
        <f>(I110+I112+I114)/3</f>
        <v>0</v>
      </c>
      <c r="F15" s="54"/>
      <c r="G15" s="48"/>
      <c r="H15" s="48"/>
      <c r="I15" s="48"/>
      <c r="J15" s="53">
        <f>(SUM(C14:I14)+J13)/8</f>
        <v>0.75</v>
      </c>
      <c r="K15" s="22"/>
      <c r="L15" s="48"/>
      <c r="M15" s="48"/>
    </row>
    <row r="16" spans="1:13" ht="13.5" thickBot="1">
      <c r="A16" s="2" t="s">
        <v>149</v>
      </c>
      <c r="B16" s="48"/>
      <c r="C16" s="26" t="s">
        <v>45</v>
      </c>
      <c r="D16" s="2"/>
      <c r="E16" s="2"/>
      <c r="F16" s="2"/>
      <c r="G16" s="25">
        <f>ROUND(J15,0)</f>
        <v>1</v>
      </c>
      <c r="H16" s="48"/>
      <c r="I16" s="48"/>
      <c r="J16" s="48"/>
      <c r="K16" s="22"/>
      <c r="L16" s="48"/>
      <c r="M16" s="48"/>
    </row>
    <row r="17" spans="1:13" ht="13.5" thickBot="1">
      <c r="A17" s="2" t="s">
        <v>44</v>
      </c>
      <c r="B17" s="48"/>
      <c r="C17" s="37"/>
      <c r="D17" s="25">
        <f>ROUND(J108,0)</f>
        <v>0</v>
      </c>
      <c r="E17" s="54"/>
      <c r="F17" s="48"/>
      <c r="G17" s="48"/>
      <c r="H17" s="48"/>
      <c r="I17" s="48"/>
      <c r="J17" s="48"/>
      <c r="K17" s="22"/>
      <c r="L17" s="48"/>
      <c r="M17" s="48"/>
    </row>
    <row r="18" spans="1:13" ht="12.75">
      <c r="A18" s="2"/>
      <c r="B18" s="48"/>
      <c r="C18" s="48"/>
      <c r="D18" s="48"/>
      <c r="E18" s="48"/>
      <c r="F18" s="48"/>
      <c r="G18" s="48"/>
      <c r="H18" s="48"/>
      <c r="I18" s="48"/>
      <c r="J18" s="48"/>
      <c r="K18" s="48"/>
      <c r="L18" s="48"/>
      <c r="M18" s="48"/>
    </row>
    <row r="19" spans="1:13" ht="15.75">
      <c r="A19" s="10" t="s">
        <v>46</v>
      </c>
      <c r="B19" s="48"/>
      <c r="C19" s="103"/>
      <c r="D19" s="48"/>
      <c r="E19" s="15"/>
      <c r="F19" s="7" t="s">
        <v>2</v>
      </c>
      <c r="G19" s="15"/>
      <c r="H19" s="48"/>
      <c r="I19" s="1"/>
      <c r="J19" s="1"/>
      <c r="K19" s="1"/>
      <c r="L19" s="48"/>
      <c r="M19" s="48"/>
    </row>
    <row r="20" spans="1:13" ht="12.75">
      <c r="A20" s="2" t="s">
        <v>47</v>
      </c>
      <c r="B20" s="48"/>
      <c r="C20" s="5" t="s">
        <v>22</v>
      </c>
      <c r="D20" s="5"/>
      <c r="E20" s="5"/>
      <c r="F20" s="83"/>
      <c r="G20" s="48"/>
      <c r="H20" s="48"/>
      <c r="I20" s="1"/>
      <c r="J20" s="1"/>
      <c r="K20" s="1"/>
      <c r="L20" s="48"/>
      <c r="M20" s="48"/>
    </row>
    <row r="21" spans="1:13" ht="12.75">
      <c r="A21" s="2"/>
      <c r="B21" s="48"/>
      <c r="C21" s="5" t="s">
        <v>22</v>
      </c>
      <c r="D21" s="5"/>
      <c r="E21" s="5"/>
      <c r="F21" s="83"/>
      <c r="G21" s="48"/>
      <c r="H21" s="48"/>
      <c r="I21" s="1"/>
      <c r="J21" s="1"/>
      <c r="K21" s="1"/>
      <c r="L21" s="48"/>
      <c r="M21" s="48"/>
    </row>
    <row r="22" spans="1:13" ht="12.75">
      <c r="A22" s="2"/>
      <c r="B22" s="48"/>
      <c r="C22" s="5" t="s">
        <v>22</v>
      </c>
      <c r="D22" s="5"/>
      <c r="E22" s="5"/>
      <c r="F22" s="83"/>
      <c r="G22" s="48"/>
      <c r="H22" s="1"/>
      <c r="I22" s="1"/>
      <c r="J22" s="1"/>
      <c r="K22" s="1"/>
      <c r="L22" s="48"/>
      <c r="M22" s="48"/>
    </row>
    <row r="23" spans="1:13" ht="13.5" thickBot="1">
      <c r="A23" s="1"/>
      <c r="B23" s="48"/>
      <c r="C23" s="5" t="s">
        <v>22</v>
      </c>
      <c r="D23" s="5"/>
      <c r="E23" s="5"/>
      <c r="F23" s="83"/>
      <c r="G23" s="48"/>
      <c r="H23" s="1"/>
      <c r="I23" s="1"/>
      <c r="J23" s="1"/>
      <c r="K23" s="1"/>
      <c r="L23" s="48"/>
      <c r="M23" s="48"/>
    </row>
    <row r="24" spans="1:13" ht="13.5" thickBot="1">
      <c r="A24" s="1"/>
      <c r="B24" s="48"/>
      <c r="C24" s="6" t="s">
        <v>75</v>
      </c>
      <c r="D24" s="5"/>
      <c r="E24" s="5"/>
      <c r="F24" s="20">
        <f>SUM(F20:F23)/4</f>
        <v>0</v>
      </c>
      <c r="G24" s="48"/>
      <c r="H24" s="1"/>
      <c r="I24" s="1"/>
      <c r="J24" s="1"/>
      <c r="K24" s="1"/>
      <c r="L24" s="48"/>
      <c r="M24" s="48"/>
    </row>
    <row r="25" spans="1:13" ht="12.75">
      <c r="A25" s="1"/>
      <c r="B25" s="48"/>
      <c r="C25" s="48"/>
      <c r="D25" s="48"/>
      <c r="E25" s="48"/>
      <c r="F25" s="57"/>
      <c r="G25" s="48"/>
      <c r="H25" s="48"/>
      <c r="I25" s="48"/>
      <c r="J25" s="48"/>
      <c r="K25" s="48"/>
      <c r="L25" s="48"/>
      <c r="M25" s="48"/>
    </row>
    <row r="26" spans="1:13" ht="15.75">
      <c r="A26" s="10" t="s">
        <v>50</v>
      </c>
      <c r="B26" s="1"/>
      <c r="C26" s="1"/>
      <c r="D26" s="1"/>
      <c r="E26" s="1"/>
      <c r="F26" s="1"/>
      <c r="G26" s="1"/>
      <c r="H26" s="1"/>
      <c r="I26" s="1"/>
      <c r="J26" s="1"/>
      <c r="K26" s="1"/>
      <c r="L26" s="48"/>
      <c r="M26" s="48"/>
    </row>
    <row r="27" spans="1:13" ht="12.75">
      <c r="A27" s="2"/>
      <c r="B27" s="48"/>
      <c r="C27" s="58"/>
      <c r="D27" s="58"/>
      <c r="E27" s="48"/>
      <c r="F27" s="58"/>
      <c r="G27" s="48"/>
      <c r="H27" s="48"/>
      <c r="I27" s="48"/>
      <c r="J27" s="48"/>
      <c r="K27" s="48"/>
      <c r="L27" s="48"/>
      <c r="M27" s="48"/>
    </row>
    <row r="28" spans="1:13" ht="12.75">
      <c r="A28" s="2" t="s">
        <v>33</v>
      </c>
      <c r="B28" s="48"/>
      <c r="C28" s="59">
        <f>(D55/2)</f>
        <v>0</v>
      </c>
      <c r="D28" s="48"/>
      <c r="E28" s="48"/>
      <c r="F28" s="60">
        <f>C28*I31</f>
        <v>0</v>
      </c>
      <c r="G28" s="48"/>
      <c r="H28" s="48"/>
      <c r="I28" s="48"/>
      <c r="J28" s="48"/>
      <c r="K28" s="48"/>
      <c r="L28" s="48"/>
      <c r="M28" s="48"/>
    </row>
    <row r="29" spans="1:13" ht="12.75">
      <c r="A29" s="2"/>
      <c r="B29" s="48"/>
      <c r="C29" s="61"/>
      <c r="D29" s="48"/>
      <c r="E29" s="48"/>
      <c r="F29" s="48"/>
      <c r="G29" s="48"/>
      <c r="H29" s="48"/>
      <c r="I29" s="48"/>
      <c r="J29" s="48"/>
      <c r="K29" s="22"/>
      <c r="L29" s="48"/>
      <c r="M29" s="48"/>
    </row>
    <row r="30" spans="1:13" ht="12.75">
      <c r="A30" s="2" t="s">
        <v>153</v>
      </c>
      <c r="B30" s="48"/>
      <c r="C30" s="8" t="s">
        <v>49</v>
      </c>
      <c r="D30" s="5"/>
      <c r="E30" s="3" t="s">
        <v>152</v>
      </c>
      <c r="F30" s="5"/>
      <c r="G30" s="3" t="s">
        <v>54</v>
      </c>
      <c r="H30" s="5"/>
      <c r="I30" s="3" t="s">
        <v>55</v>
      </c>
      <c r="J30" s="48"/>
      <c r="K30" s="22"/>
      <c r="L30" s="48"/>
      <c r="M30" s="48"/>
    </row>
    <row r="31" spans="1:13" ht="12.75">
      <c r="A31" s="2"/>
      <c r="B31" s="48"/>
      <c r="C31" s="19">
        <f>C28+E31+G31+I32</f>
        <v>0</v>
      </c>
      <c r="D31" s="48"/>
      <c r="E31" s="85">
        <f>C28*6/100</f>
        <v>0</v>
      </c>
      <c r="F31" s="58"/>
      <c r="G31" s="85">
        <f>(C28+E31)*10/100</f>
        <v>0</v>
      </c>
      <c r="H31" s="58"/>
      <c r="I31" s="47">
        <v>0</v>
      </c>
      <c r="J31" s="48"/>
      <c r="K31" s="22"/>
      <c r="L31" s="48"/>
      <c r="M31" s="48"/>
    </row>
    <row r="32" spans="1:13" ht="12.75">
      <c r="A32" s="2"/>
      <c r="B32" s="48"/>
      <c r="C32" s="4"/>
      <c r="D32" s="48"/>
      <c r="E32" s="60">
        <f>E31/2</f>
        <v>0</v>
      </c>
      <c r="F32" s="62"/>
      <c r="G32" s="48"/>
      <c r="H32" s="48"/>
      <c r="I32" s="14">
        <f>C28*I31/100</f>
        <v>0</v>
      </c>
      <c r="J32" s="48"/>
      <c r="K32" s="22"/>
      <c r="L32" s="48"/>
      <c r="M32" s="48"/>
    </row>
    <row r="33" spans="1:13" ht="12.75">
      <c r="A33" s="2" t="s">
        <v>51</v>
      </c>
      <c r="B33" s="48"/>
      <c r="C33" s="6" t="s">
        <v>56</v>
      </c>
      <c r="D33" s="5"/>
      <c r="E33" s="3" t="s">
        <v>58</v>
      </c>
      <c r="F33" s="9" t="s">
        <v>59</v>
      </c>
      <c r="G33" s="9" t="s">
        <v>60</v>
      </c>
      <c r="H33" s="3" t="s">
        <v>61</v>
      </c>
      <c r="I33" s="3" t="s">
        <v>62</v>
      </c>
      <c r="J33" s="48"/>
      <c r="K33" s="22"/>
      <c r="L33" s="48"/>
      <c r="M33" s="48"/>
    </row>
    <row r="34" spans="1:13" ht="12.75">
      <c r="A34" s="2"/>
      <c r="B34" s="48"/>
      <c r="C34" s="48"/>
      <c r="D34" s="48"/>
      <c r="E34" s="85">
        <f>C31*I82/100</f>
        <v>0</v>
      </c>
      <c r="F34" s="85">
        <f>C31*I86/100</f>
        <v>0</v>
      </c>
      <c r="G34" s="85">
        <f>C31*I83/100</f>
        <v>0</v>
      </c>
      <c r="H34" s="85">
        <f>C31*I84/100*0</f>
        <v>0</v>
      </c>
      <c r="I34" s="85">
        <f>C31*I85/100</f>
        <v>0</v>
      </c>
      <c r="J34" s="48"/>
      <c r="K34" s="17"/>
      <c r="L34" s="48"/>
      <c r="M34" s="48"/>
    </row>
    <row r="35" spans="1:13" ht="12.75">
      <c r="A35" s="2"/>
      <c r="B35" s="48"/>
      <c r="C35" s="65"/>
      <c r="D35" s="66"/>
      <c r="E35" s="66">
        <f>E34/10</f>
        <v>0</v>
      </c>
      <c r="F35" s="66">
        <f>F34/10</f>
        <v>0</v>
      </c>
      <c r="G35" s="66">
        <f>G34/10</f>
        <v>0</v>
      </c>
      <c r="H35" s="66">
        <f>H34/10</f>
        <v>0</v>
      </c>
      <c r="I35" s="66">
        <f>I34/10</f>
        <v>0</v>
      </c>
      <c r="J35" s="67"/>
      <c r="K35" s="17"/>
      <c r="L35" s="48"/>
      <c r="M35" s="48"/>
    </row>
    <row r="36" spans="1:13" ht="12.75">
      <c r="A36" s="2"/>
      <c r="B36" s="48"/>
      <c r="C36" s="48"/>
      <c r="D36" s="3" t="s">
        <v>63</v>
      </c>
      <c r="E36" s="3" t="s">
        <v>64</v>
      </c>
      <c r="F36" s="9" t="s">
        <v>65</v>
      </c>
      <c r="G36" s="3" t="s">
        <v>12</v>
      </c>
      <c r="H36" s="3" t="s">
        <v>66</v>
      </c>
      <c r="I36" s="9" t="s">
        <v>67</v>
      </c>
      <c r="J36" s="67"/>
      <c r="K36" s="17"/>
      <c r="L36" s="48"/>
      <c r="M36" s="48"/>
    </row>
    <row r="37" spans="1:13" ht="12.75">
      <c r="A37" s="2"/>
      <c r="B37" s="48"/>
      <c r="C37" s="48"/>
      <c r="D37" s="85">
        <f>C31*I87/100</f>
        <v>0</v>
      </c>
      <c r="E37" s="85">
        <f>C31*I91/100</f>
        <v>0</v>
      </c>
      <c r="F37" s="85">
        <f>C31*I88/100</f>
        <v>0</v>
      </c>
      <c r="G37" s="85">
        <f>C31*I89/100*0</f>
        <v>0</v>
      </c>
      <c r="H37" s="85">
        <f>C31*I90/100*0</f>
        <v>0</v>
      </c>
      <c r="I37" s="81" t="s">
        <v>13</v>
      </c>
      <c r="J37" s="67"/>
      <c r="K37" s="17"/>
      <c r="L37" s="48"/>
      <c r="M37" s="48"/>
    </row>
    <row r="38" spans="1:13" ht="12.75">
      <c r="A38" s="2"/>
      <c r="B38" s="48"/>
      <c r="C38" s="62"/>
      <c r="D38" s="66">
        <f>D37/10</f>
        <v>0</v>
      </c>
      <c r="E38" s="55">
        <f>E37/10</f>
        <v>0</v>
      </c>
      <c r="F38" s="66">
        <f>F37/10</f>
        <v>0</v>
      </c>
      <c r="G38" s="55">
        <f>G37/10</f>
        <v>0</v>
      </c>
      <c r="H38" s="66">
        <f>H37/10</f>
        <v>0</v>
      </c>
      <c r="I38" s="104"/>
      <c r="J38" s="67"/>
      <c r="K38" s="17"/>
      <c r="L38" s="48"/>
      <c r="M38" s="48"/>
    </row>
    <row r="39" spans="1:13" ht="12.75">
      <c r="A39" s="2"/>
      <c r="B39" s="48"/>
      <c r="C39" s="8" t="s">
        <v>49</v>
      </c>
      <c r="D39" s="7" t="s">
        <v>147</v>
      </c>
      <c r="E39" s="6" t="s">
        <v>188</v>
      </c>
      <c r="F39" s="32" t="s">
        <v>57</v>
      </c>
      <c r="G39" s="31"/>
      <c r="H39" s="3" t="s">
        <v>3</v>
      </c>
      <c r="I39" s="3" t="s">
        <v>4</v>
      </c>
      <c r="J39" s="67"/>
      <c r="K39" s="17"/>
      <c r="L39" s="48"/>
      <c r="M39" s="48"/>
    </row>
    <row r="40" spans="1:13" ht="12.75">
      <c r="A40" s="2"/>
      <c r="B40" s="48"/>
      <c r="C40" s="18">
        <f>SUM(E34:I34)+D37+E37+F37+G37+H40+H37+I40-D40</f>
        <v>11.2</v>
      </c>
      <c r="D40" s="72">
        <f>SUM(E35:I35)+SUM(D38:H38)+H41+I41-E46</f>
        <v>2.8</v>
      </c>
      <c r="E40" s="85">
        <f>SUM(E35:I35)+SUM(D38:H38)</f>
        <v>0</v>
      </c>
      <c r="F40" s="62"/>
      <c r="G40" s="62"/>
      <c r="H40" s="86">
        <f>C83</f>
        <v>7</v>
      </c>
      <c r="I40" s="86">
        <f>C84</f>
        <v>7</v>
      </c>
      <c r="J40" s="67"/>
      <c r="K40" s="17"/>
      <c r="L40" s="48"/>
      <c r="M40" s="48"/>
    </row>
    <row r="41" spans="1:13" ht="12.75">
      <c r="A41" s="2"/>
      <c r="B41" s="53">
        <f>1*0</f>
        <v>0</v>
      </c>
      <c r="C41" s="66">
        <v>4</v>
      </c>
      <c r="D41" s="66"/>
      <c r="E41" s="66"/>
      <c r="F41" s="66"/>
      <c r="G41" s="68"/>
      <c r="H41" s="66">
        <f>H40/5</f>
        <v>1.4</v>
      </c>
      <c r="I41" s="66">
        <f>I40/5</f>
        <v>1.4</v>
      </c>
      <c r="J41" s="67"/>
      <c r="K41" s="17"/>
      <c r="L41" s="48"/>
      <c r="M41" s="48"/>
    </row>
    <row r="42" spans="1:13" ht="12.75">
      <c r="A42" s="2" t="s">
        <v>52</v>
      </c>
      <c r="B42" s="48"/>
      <c r="C42" s="12" t="s">
        <v>49</v>
      </c>
      <c r="D42" s="5"/>
      <c r="E42" s="9" t="s">
        <v>68</v>
      </c>
      <c r="F42" s="9" t="s">
        <v>69</v>
      </c>
      <c r="G42" s="13" t="s">
        <v>70</v>
      </c>
      <c r="H42" s="9" t="s">
        <v>71</v>
      </c>
      <c r="I42" s="3" t="s">
        <v>154</v>
      </c>
      <c r="J42" s="67"/>
      <c r="K42" s="17"/>
      <c r="L42" s="48"/>
      <c r="M42" s="48"/>
    </row>
    <row r="43" spans="1:13" ht="12.75">
      <c r="A43" s="2"/>
      <c r="B43" s="48"/>
      <c r="C43" s="18">
        <f>SUM(E43:F43)</f>
        <v>-11.2</v>
      </c>
      <c r="D43" s="98">
        <f>C43*H43/100+C43</f>
        <v>-11.2</v>
      </c>
      <c r="E43" s="85">
        <f>C31-C40</f>
        <v>-11.2</v>
      </c>
      <c r="F43" s="85">
        <f>((F24/4)+(E31+G31))*(G43/100)</f>
        <v>0</v>
      </c>
      <c r="G43" s="47"/>
      <c r="H43" s="47"/>
      <c r="I43" s="81">
        <f>ROUND(D43,1)</f>
        <v>-11.2</v>
      </c>
      <c r="J43" s="67"/>
      <c r="K43" s="17"/>
      <c r="L43" s="48"/>
      <c r="M43" s="48"/>
    </row>
    <row r="44" spans="1:13" ht="13.5" thickBot="1">
      <c r="A44" s="2"/>
      <c r="B44" s="48"/>
      <c r="C44" s="65"/>
      <c r="D44" s="64"/>
      <c r="E44" s="64"/>
      <c r="F44" s="48"/>
      <c r="G44" s="62"/>
      <c r="H44" s="48"/>
      <c r="I44" s="48"/>
      <c r="J44" s="67"/>
      <c r="K44" s="17"/>
      <c r="L44" s="48"/>
      <c r="M44" s="48"/>
    </row>
    <row r="45" spans="1:13" ht="13.5" thickBot="1">
      <c r="A45" s="2" t="s">
        <v>53</v>
      </c>
      <c r="B45" s="48"/>
      <c r="C45" s="33">
        <f>C40+E43+F43</f>
        <v>0</v>
      </c>
      <c r="D45" s="64"/>
      <c r="E45" s="64"/>
      <c r="F45" s="64"/>
      <c r="G45" s="62"/>
      <c r="H45" s="48"/>
      <c r="I45" s="48"/>
      <c r="J45" s="67"/>
      <c r="K45" s="17"/>
      <c r="L45" s="48"/>
      <c r="M45" s="48"/>
    </row>
    <row r="46" spans="1:13" ht="12.75">
      <c r="A46" s="2"/>
      <c r="B46" s="48"/>
      <c r="D46" s="48"/>
      <c r="E46" s="48"/>
      <c r="F46" s="48"/>
      <c r="G46" s="48"/>
      <c r="H46" s="62"/>
      <c r="I46" s="67"/>
      <c r="J46" s="67"/>
      <c r="K46" s="17"/>
      <c r="L46" s="48"/>
      <c r="M46" s="48"/>
    </row>
    <row r="47" spans="1:13" ht="15.75">
      <c r="A47" s="10" t="s">
        <v>72</v>
      </c>
      <c r="B47" s="48"/>
      <c r="C47" s="7" t="s">
        <v>14</v>
      </c>
      <c r="D47" s="3" t="s">
        <v>73</v>
      </c>
      <c r="E47" s="3" t="s">
        <v>187</v>
      </c>
      <c r="F47" s="3" t="s">
        <v>186</v>
      </c>
      <c r="G47" s="3" t="s">
        <v>74</v>
      </c>
      <c r="H47" s="48"/>
      <c r="I47" s="48"/>
      <c r="J47" s="22"/>
      <c r="K47" s="17"/>
      <c r="L47" s="48"/>
      <c r="M47" s="48"/>
    </row>
    <row r="48" spans="1:13" ht="12.75">
      <c r="A48" s="2"/>
      <c r="B48" s="48"/>
      <c r="C48" s="18">
        <f>SUM(D48:E48)</f>
        <v>0</v>
      </c>
      <c r="D48" s="87"/>
      <c r="E48" s="85">
        <f>ROUNDUP((F48*1.2/1000),1)</f>
        <v>0</v>
      </c>
      <c r="F48" s="39"/>
      <c r="G48" s="39"/>
      <c r="H48" s="48"/>
      <c r="I48" s="48"/>
      <c r="J48" s="22"/>
      <c r="K48" s="17"/>
      <c r="L48" s="48"/>
      <c r="M48" s="48"/>
    </row>
    <row r="49" spans="1:13" ht="12.75">
      <c r="A49" s="2"/>
      <c r="B49" s="48"/>
      <c r="C49" s="48"/>
      <c r="D49" s="48"/>
      <c r="E49" s="48"/>
      <c r="F49" s="48"/>
      <c r="G49" s="48"/>
      <c r="H49" s="3" t="s">
        <v>80</v>
      </c>
      <c r="I49" s="38" t="s">
        <v>82</v>
      </c>
      <c r="J49" s="22"/>
      <c r="K49" s="48"/>
      <c r="L49" s="48"/>
      <c r="M49" s="48"/>
    </row>
    <row r="50" spans="1:13" ht="16.5" thickBot="1">
      <c r="A50" s="10"/>
      <c r="B50" s="48"/>
      <c r="C50" s="7" t="s">
        <v>75</v>
      </c>
      <c r="D50" s="3" t="s">
        <v>77</v>
      </c>
      <c r="E50" s="3" t="s">
        <v>76</v>
      </c>
      <c r="F50" s="3" t="s">
        <v>78</v>
      </c>
      <c r="G50" s="3" t="s">
        <v>79</v>
      </c>
      <c r="H50" s="3" t="s">
        <v>81</v>
      </c>
      <c r="I50" s="3" t="s">
        <v>83</v>
      </c>
      <c r="J50" s="42" t="s">
        <v>84</v>
      </c>
      <c r="K50" s="40"/>
      <c r="L50" s="48"/>
      <c r="M50" s="48"/>
    </row>
    <row r="51" spans="1:13" ht="16.5" thickBot="1">
      <c r="A51" s="10"/>
      <c r="B51" s="48"/>
      <c r="C51" s="41">
        <f>ROUND(C52,0)</f>
        <v>0</v>
      </c>
      <c r="D51" s="39"/>
      <c r="E51" s="39"/>
      <c r="F51" s="88">
        <f>ROUND(D51*E51/100,0)</f>
        <v>0</v>
      </c>
      <c r="G51" s="47"/>
      <c r="H51" s="47"/>
      <c r="I51" s="47"/>
      <c r="J51" s="39"/>
      <c r="K51" s="40"/>
      <c r="L51" s="48"/>
      <c r="M51" s="48"/>
    </row>
    <row r="52" spans="1:13" ht="15.75">
      <c r="A52" s="10" t="s">
        <v>85</v>
      </c>
      <c r="B52" s="48"/>
      <c r="C52" s="69">
        <f>(SUM(F51:J51)+(G48*2.2))/6</f>
        <v>0</v>
      </c>
      <c r="D52" s="48"/>
      <c r="E52" s="48"/>
      <c r="F52" s="48"/>
      <c r="G52" s="48"/>
      <c r="H52" s="53">
        <f>H51/10</f>
        <v>0</v>
      </c>
      <c r="I52" s="48"/>
      <c r="J52" s="48"/>
      <c r="K52" s="22"/>
      <c r="L52" s="48"/>
      <c r="M52" s="48"/>
    </row>
    <row r="53" spans="1:13" ht="16.5" thickBot="1">
      <c r="A53" s="10"/>
      <c r="B53" s="48"/>
      <c r="C53" s="48"/>
      <c r="D53" s="48"/>
      <c r="E53" s="48"/>
      <c r="F53" s="48"/>
      <c r="G53" s="48"/>
      <c r="H53" s="48"/>
      <c r="I53" s="48"/>
      <c r="J53" s="48"/>
      <c r="K53" s="22"/>
      <c r="L53" s="48"/>
      <c r="M53" s="48"/>
    </row>
    <row r="54" spans="1:13" ht="12.75">
      <c r="A54" s="2" t="s">
        <v>86</v>
      </c>
      <c r="B54" s="48"/>
      <c r="C54" s="7" t="s">
        <v>49</v>
      </c>
      <c r="D54" s="21" t="s">
        <v>2</v>
      </c>
      <c r="E54" s="3" t="s">
        <v>5</v>
      </c>
      <c r="F54" s="3" t="s">
        <v>182</v>
      </c>
      <c r="G54" s="3" t="s">
        <v>6</v>
      </c>
      <c r="H54" s="3" t="s">
        <v>87</v>
      </c>
      <c r="I54" s="3" t="s">
        <v>88</v>
      </c>
      <c r="J54" s="48"/>
      <c r="K54" s="22"/>
      <c r="L54" s="48"/>
      <c r="M54" s="48"/>
    </row>
    <row r="55" spans="1:13" ht="13.5" thickBot="1">
      <c r="A55" s="2"/>
      <c r="B55" s="48"/>
      <c r="C55" s="32">
        <f>SUM(D55:I55)</f>
        <v>15.5</v>
      </c>
      <c r="D55" s="80">
        <f>F24/2</f>
        <v>0</v>
      </c>
      <c r="E55" s="84">
        <f>D55*3</f>
        <v>0</v>
      </c>
      <c r="F55" s="84">
        <f>D55*140/100</f>
        <v>0</v>
      </c>
      <c r="G55" s="84">
        <f>H40+I40+C85</f>
        <v>15.5</v>
      </c>
      <c r="H55" s="85">
        <f>SUM(F77:F90)</f>
        <v>0</v>
      </c>
      <c r="I55" s="85">
        <f>SUM(I77:I79)</f>
        <v>0</v>
      </c>
      <c r="J55" s="48"/>
      <c r="K55" s="22"/>
      <c r="L55" s="48"/>
      <c r="M55" s="48"/>
    </row>
    <row r="56" spans="1:13" ht="12.75">
      <c r="A56" s="2"/>
      <c r="B56" s="48"/>
      <c r="C56" s="70"/>
      <c r="D56" s="48"/>
      <c r="E56" s="48"/>
      <c r="F56" s="48"/>
      <c r="G56" s="48"/>
      <c r="H56" s="56"/>
      <c r="I56" s="48"/>
      <c r="J56" s="48"/>
      <c r="K56" s="22"/>
      <c r="L56" s="48"/>
      <c r="M56" s="48"/>
    </row>
    <row r="57" spans="1:13" ht="12.75">
      <c r="A57" s="2" t="s">
        <v>91</v>
      </c>
      <c r="B57" s="48"/>
      <c r="C57" s="12" t="s">
        <v>49</v>
      </c>
      <c r="D57" s="3" t="s">
        <v>181</v>
      </c>
      <c r="E57" s="3" t="s">
        <v>5</v>
      </c>
      <c r="F57" s="3" t="s">
        <v>182</v>
      </c>
      <c r="G57" s="3" t="s">
        <v>6</v>
      </c>
      <c r="H57" s="3" t="s">
        <v>89</v>
      </c>
      <c r="I57" s="3" t="s">
        <v>15</v>
      </c>
      <c r="J57" s="3" t="s">
        <v>90</v>
      </c>
      <c r="K57" s="22"/>
      <c r="L57" s="48"/>
      <c r="M57" s="48"/>
    </row>
    <row r="58" spans="1:13" ht="12.75">
      <c r="A58" s="2"/>
      <c r="B58" s="48"/>
      <c r="C58" s="32">
        <f>SUM(D58:E58)</f>
        <v>0</v>
      </c>
      <c r="D58" s="84">
        <f>(D55*35)/100</f>
        <v>0</v>
      </c>
      <c r="E58" s="84">
        <f>C78*35/100</f>
        <v>0</v>
      </c>
      <c r="F58" s="85">
        <f>C40+F61-F55+I40+H40</f>
        <v>0</v>
      </c>
      <c r="G58" s="85">
        <v>0</v>
      </c>
      <c r="H58" s="76">
        <f>ROUND(D55*25/100,1)</f>
        <v>0</v>
      </c>
      <c r="I58" s="84">
        <f>ROUND(D55/2,1)</f>
        <v>0</v>
      </c>
      <c r="J58" s="75">
        <f>ROUND(C48+(C48*26/100),1)</f>
        <v>0</v>
      </c>
      <c r="K58" s="22"/>
      <c r="L58" s="48"/>
      <c r="M58" s="48"/>
    </row>
    <row r="59" spans="1:13" ht="12.75">
      <c r="A59" s="2"/>
      <c r="B59" s="48"/>
      <c r="C59" s="48"/>
      <c r="D59" s="71">
        <f>D55-H58-J58</f>
        <v>0</v>
      </c>
      <c r="E59" s="48"/>
      <c r="F59" s="48"/>
      <c r="G59" s="48"/>
      <c r="H59" s="56"/>
      <c r="I59" s="60">
        <f>SUM(D61:H61)</f>
        <v>-23.7</v>
      </c>
      <c r="J59" s="48"/>
      <c r="L59" s="48"/>
      <c r="M59" s="48"/>
    </row>
    <row r="60" spans="1:13" ht="13.5" thickBot="1">
      <c r="A60" s="2" t="s">
        <v>155</v>
      </c>
      <c r="B60" s="48"/>
      <c r="C60" s="12" t="s">
        <v>184</v>
      </c>
      <c r="D60" s="3" t="s">
        <v>181</v>
      </c>
      <c r="E60" s="3" t="s">
        <v>5</v>
      </c>
      <c r="F60" s="3" t="s">
        <v>182</v>
      </c>
      <c r="G60" s="3" t="s">
        <v>6</v>
      </c>
      <c r="H60" s="3" t="s">
        <v>87</v>
      </c>
      <c r="I60" s="3" t="s">
        <v>93</v>
      </c>
      <c r="J60" s="3" t="s">
        <v>94</v>
      </c>
      <c r="K60" s="3" t="s">
        <v>95</v>
      </c>
      <c r="L60" s="48"/>
      <c r="M60" s="48"/>
    </row>
    <row r="61" spans="1:13" ht="13.5" thickBot="1">
      <c r="A61" s="2"/>
      <c r="B61" s="48"/>
      <c r="C61" s="33">
        <f>I59-I61+H52+E32-I43</f>
        <v>-12.5</v>
      </c>
      <c r="D61" s="84">
        <v>0</v>
      </c>
      <c r="E61" s="84">
        <f>C78*20/100</f>
        <v>0</v>
      </c>
      <c r="F61" s="84">
        <f>F55-C40-H40-I40</f>
        <v>-25.2</v>
      </c>
      <c r="G61" s="84">
        <f>C85+C83+C84-H40-I40</f>
        <v>1.5</v>
      </c>
      <c r="H61" s="84">
        <f>H55*65/100</f>
        <v>0</v>
      </c>
      <c r="I61" s="72">
        <f>I59*J61/100</f>
        <v>0</v>
      </c>
      <c r="J61" s="47"/>
      <c r="K61" s="72">
        <f>C61*10/100</f>
        <v>-1.25</v>
      </c>
      <c r="L61" s="48"/>
      <c r="M61" s="48"/>
    </row>
    <row r="62" spans="1:13" ht="12.75">
      <c r="A62" s="45"/>
      <c r="B62" s="63" t="s">
        <v>92</v>
      </c>
      <c r="C62" s="65">
        <f>C61-C63-K61</f>
        <v>-8.75</v>
      </c>
      <c r="D62" s="48"/>
      <c r="E62" s="48"/>
      <c r="F62" s="48"/>
      <c r="G62" s="48"/>
      <c r="H62" s="48"/>
      <c r="I62" s="48"/>
      <c r="J62" s="48"/>
      <c r="K62" s="48"/>
      <c r="L62" s="48"/>
      <c r="M62" s="48"/>
    </row>
    <row r="63" spans="1:13" ht="15.75">
      <c r="A63" s="10" t="s">
        <v>96</v>
      </c>
      <c r="B63" s="48"/>
      <c r="C63" s="53">
        <f>C61*20/100</f>
        <v>-2.5</v>
      </c>
      <c r="D63" s="48"/>
      <c r="E63" s="48"/>
      <c r="F63" s="48"/>
      <c r="G63" s="48"/>
      <c r="H63" s="48"/>
      <c r="I63" s="48"/>
      <c r="J63" s="48"/>
      <c r="K63" s="22"/>
      <c r="L63" s="48"/>
      <c r="M63" s="48"/>
    </row>
    <row r="64" spans="1:13" ht="12.75">
      <c r="A64" s="2"/>
      <c r="B64" s="48"/>
      <c r="C64" s="48"/>
      <c r="D64" s="48"/>
      <c r="E64" s="48"/>
      <c r="F64" s="48"/>
      <c r="G64" s="48"/>
      <c r="H64" s="48"/>
      <c r="I64" s="48"/>
      <c r="J64" s="48"/>
      <c r="K64" s="22"/>
      <c r="L64" s="48"/>
      <c r="M64" s="48"/>
    </row>
    <row r="65" spans="1:13" ht="12.75">
      <c r="A65" s="2" t="s">
        <v>183</v>
      </c>
      <c r="B65" s="48"/>
      <c r="C65" s="2" t="s">
        <v>158</v>
      </c>
      <c r="D65" s="1"/>
      <c r="E65" s="1"/>
      <c r="F65" s="1"/>
      <c r="G65" s="1"/>
      <c r="H65" s="1"/>
      <c r="I65" s="34">
        <v>1</v>
      </c>
      <c r="J65" s="48"/>
      <c r="K65" s="22"/>
      <c r="L65" s="48"/>
      <c r="M65" s="48"/>
    </row>
    <row r="66" spans="1:13" ht="12.75">
      <c r="A66" s="2"/>
      <c r="B66" s="48"/>
      <c r="C66" s="1"/>
      <c r="D66" s="1"/>
      <c r="E66" s="1"/>
      <c r="F66" s="1"/>
      <c r="G66" s="1"/>
      <c r="H66" s="48"/>
      <c r="I66" s="48"/>
      <c r="J66" s="48"/>
      <c r="K66" s="22"/>
      <c r="L66" s="48"/>
      <c r="M66" s="48"/>
    </row>
    <row r="67" spans="1:13" ht="12.75">
      <c r="A67" s="2" t="s">
        <v>156</v>
      </c>
      <c r="B67" s="48"/>
      <c r="C67" s="2" t="s">
        <v>159</v>
      </c>
      <c r="D67" s="1"/>
      <c r="E67" s="1"/>
      <c r="F67" s="1"/>
      <c r="G67" s="34">
        <f>I65*120/100</f>
        <v>1.2</v>
      </c>
      <c r="H67" s="48"/>
      <c r="I67" s="48"/>
      <c r="J67" s="48"/>
      <c r="K67" s="22"/>
      <c r="L67" s="48"/>
      <c r="M67" s="48"/>
    </row>
    <row r="68" spans="1:13" ht="13.5" thickBot="1">
      <c r="A68" s="2"/>
      <c r="B68" s="48"/>
      <c r="C68" s="1"/>
      <c r="D68" s="1"/>
      <c r="E68" s="1"/>
      <c r="F68" s="1"/>
      <c r="G68" s="48"/>
      <c r="H68" s="48"/>
      <c r="I68" s="48"/>
      <c r="J68" s="48"/>
      <c r="K68" s="22"/>
      <c r="L68" s="48"/>
      <c r="M68" s="48"/>
    </row>
    <row r="69" spans="1:13" ht="13.5" thickBot="1">
      <c r="A69" s="2" t="s">
        <v>157</v>
      </c>
      <c r="B69" s="48"/>
      <c r="C69" s="2" t="s">
        <v>160</v>
      </c>
      <c r="D69" s="1"/>
      <c r="E69" s="34">
        <f>(((C62*3)*50/100)/10)-F69</f>
        <v>-1.5625</v>
      </c>
      <c r="F69" s="53">
        <v>0.25</v>
      </c>
      <c r="G69" s="78" t="s">
        <v>97</v>
      </c>
      <c r="H69" s="1"/>
      <c r="I69" s="33">
        <f>G67+E69-I65</f>
        <v>-1.3625</v>
      </c>
      <c r="J69" s="48"/>
      <c r="K69" s="22"/>
      <c r="L69" s="48"/>
      <c r="M69" s="48"/>
    </row>
    <row r="70" spans="1:13" ht="12.75">
      <c r="A70" s="2"/>
      <c r="B70" s="48"/>
      <c r="C70" s="2"/>
      <c r="D70" s="1"/>
      <c r="E70" s="65"/>
      <c r="F70" s="78" t="s">
        <v>98</v>
      </c>
      <c r="G70" s="1"/>
      <c r="H70" s="1"/>
      <c r="I70" s="18">
        <f>I65</f>
        <v>1</v>
      </c>
      <c r="J70" s="48"/>
      <c r="K70" s="22"/>
      <c r="L70" s="48"/>
      <c r="M70" s="48"/>
    </row>
    <row r="71" spans="1:13" ht="12.75">
      <c r="A71" s="2" t="s">
        <v>162</v>
      </c>
      <c r="B71" s="48"/>
      <c r="C71" s="2" t="s">
        <v>161</v>
      </c>
      <c r="D71" s="1"/>
      <c r="E71" s="105" t="s">
        <v>100</v>
      </c>
      <c r="F71" s="79"/>
      <c r="G71" s="77"/>
      <c r="H71" s="44"/>
      <c r="I71" s="18"/>
      <c r="J71" s="48"/>
      <c r="K71" s="22"/>
      <c r="L71" s="48"/>
      <c r="M71" s="48"/>
    </row>
    <row r="72" spans="1:13" ht="12.75">
      <c r="A72" s="2"/>
      <c r="B72" s="48"/>
      <c r="C72" s="2" t="s">
        <v>99</v>
      </c>
      <c r="D72" s="1"/>
      <c r="E72" s="105" t="s">
        <v>100</v>
      </c>
      <c r="F72" s="79"/>
      <c r="G72" s="1"/>
      <c r="H72" s="44"/>
      <c r="I72" s="18"/>
      <c r="J72" s="48"/>
      <c r="K72" s="22"/>
      <c r="L72" s="48"/>
      <c r="M72" s="48"/>
    </row>
    <row r="73" spans="1:13" ht="12.75">
      <c r="A73" s="2"/>
      <c r="B73" s="48"/>
      <c r="C73" s="48"/>
      <c r="D73" s="48"/>
      <c r="E73" s="48"/>
      <c r="F73" s="48"/>
      <c r="G73" s="48"/>
      <c r="H73" s="48"/>
      <c r="I73" s="48"/>
      <c r="J73" s="48"/>
      <c r="K73" s="22"/>
      <c r="L73" s="48"/>
      <c r="M73" s="48"/>
    </row>
    <row r="74" spans="1:13" ht="15.75">
      <c r="A74" s="10" t="s">
        <v>163</v>
      </c>
      <c r="B74" s="1"/>
      <c r="C74" s="1"/>
      <c r="D74" s="1"/>
      <c r="E74" s="1"/>
      <c r="F74" s="1"/>
      <c r="G74" s="1"/>
      <c r="H74" s="1"/>
      <c r="I74" s="1"/>
      <c r="J74" s="1"/>
      <c r="K74" s="1"/>
      <c r="L74" s="48"/>
      <c r="M74" s="48"/>
    </row>
    <row r="75" spans="1:13" ht="15.75">
      <c r="A75" s="10"/>
      <c r="B75" s="73"/>
      <c r="C75" s="73"/>
      <c r="D75" s="73"/>
      <c r="E75" s="73"/>
      <c r="F75" s="73"/>
      <c r="G75" s="73"/>
      <c r="H75" s="73"/>
      <c r="I75" s="73"/>
      <c r="J75" s="73"/>
      <c r="K75" s="22"/>
      <c r="L75" s="48"/>
      <c r="M75" s="48"/>
    </row>
    <row r="76" spans="1:13" ht="15.75">
      <c r="A76" s="10" t="s">
        <v>101</v>
      </c>
      <c r="B76" s="48"/>
      <c r="C76" s="10" t="s">
        <v>103</v>
      </c>
      <c r="D76" s="48"/>
      <c r="E76" s="10" t="s">
        <v>87</v>
      </c>
      <c r="F76" s="1"/>
      <c r="G76" s="74"/>
      <c r="H76" s="10" t="s">
        <v>104</v>
      </c>
      <c r="I76" s="1"/>
      <c r="J76" s="62"/>
      <c r="K76" s="22"/>
      <c r="L76" s="48"/>
      <c r="M76" s="48"/>
    </row>
    <row r="77" spans="1:13" ht="12.75">
      <c r="A77" s="2" t="s">
        <v>164</v>
      </c>
      <c r="B77" s="1"/>
      <c r="C77" s="16">
        <f>D55</f>
        <v>0</v>
      </c>
      <c r="D77" s="62"/>
      <c r="E77" s="2" t="s">
        <v>106</v>
      </c>
      <c r="F77" s="91"/>
      <c r="G77" s="48"/>
      <c r="H77" s="2" t="s">
        <v>165</v>
      </c>
      <c r="I77" s="91"/>
      <c r="J77" s="48"/>
      <c r="K77" s="22"/>
      <c r="L77" s="48"/>
      <c r="M77" s="48"/>
    </row>
    <row r="78" spans="1:13" ht="12.75">
      <c r="A78" s="2" t="s">
        <v>1</v>
      </c>
      <c r="B78" s="1"/>
      <c r="C78" s="16">
        <f>C77*3</f>
        <v>0</v>
      </c>
      <c r="D78" s="62"/>
      <c r="E78" s="2" t="s">
        <v>169</v>
      </c>
      <c r="F78" s="91"/>
      <c r="G78" s="48"/>
      <c r="H78" s="2" t="s">
        <v>112</v>
      </c>
      <c r="I78" s="91"/>
      <c r="J78" s="48"/>
      <c r="K78" s="22"/>
      <c r="L78" s="48"/>
      <c r="M78" s="48"/>
    </row>
    <row r="79" spans="1:13" ht="12.75">
      <c r="A79" s="2" t="s">
        <v>170</v>
      </c>
      <c r="B79" s="1"/>
      <c r="C79" s="16">
        <f>D55*140/100</f>
        <v>0</v>
      </c>
      <c r="D79" s="62"/>
      <c r="E79" s="2" t="s">
        <v>11</v>
      </c>
      <c r="F79" s="91"/>
      <c r="G79" s="48"/>
      <c r="H79" s="2" t="s">
        <v>113</v>
      </c>
      <c r="I79" s="91"/>
      <c r="J79" s="48"/>
      <c r="K79" s="22"/>
      <c r="L79" s="48"/>
      <c r="M79" s="48"/>
    </row>
    <row r="80" spans="1:13" ht="12.75">
      <c r="A80" s="2"/>
      <c r="B80" s="1"/>
      <c r="C80" s="30">
        <f>SUM(C77:C79)</f>
        <v>0</v>
      </c>
      <c r="D80" s="62"/>
      <c r="E80" s="2" t="s">
        <v>10</v>
      </c>
      <c r="F80" s="91"/>
      <c r="G80" s="48"/>
      <c r="H80" s="48"/>
      <c r="I80" s="70">
        <f>SUM(I77:I79)</f>
        <v>0</v>
      </c>
      <c r="J80" s="48"/>
      <c r="K80" s="22"/>
      <c r="L80" s="48"/>
      <c r="M80" s="48"/>
    </row>
    <row r="81" spans="1:13" ht="15.75">
      <c r="A81" s="2"/>
      <c r="B81" s="48"/>
      <c r="C81" s="1"/>
      <c r="D81" s="62"/>
      <c r="E81" s="2" t="s">
        <v>107</v>
      </c>
      <c r="F81" s="91"/>
      <c r="G81" s="48"/>
      <c r="H81" s="10" t="s">
        <v>105</v>
      </c>
      <c r="I81" s="10"/>
      <c r="J81" s="10"/>
      <c r="K81" s="2"/>
      <c r="L81" s="48"/>
      <c r="M81" s="48"/>
    </row>
    <row r="82" spans="1:13" ht="15.75">
      <c r="A82" s="10" t="s">
        <v>102</v>
      </c>
      <c r="B82" s="48"/>
      <c r="C82" s="11"/>
      <c r="D82" s="62"/>
      <c r="E82" s="2" t="s">
        <v>185</v>
      </c>
      <c r="F82" s="91"/>
      <c r="G82" s="48"/>
      <c r="H82" s="2" t="s">
        <v>58</v>
      </c>
      <c r="I82" s="92">
        <v>12</v>
      </c>
      <c r="J82" s="48"/>
      <c r="K82" s="22"/>
      <c r="L82" s="48"/>
      <c r="M82" s="48"/>
    </row>
    <row r="83" spans="1:13" ht="12.75">
      <c r="A83" s="2" t="s">
        <v>171</v>
      </c>
      <c r="B83" s="48"/>
      <c r="C83" s="89">
        <v>7</v>
      </c>
      <c r="D83" s="62"/>
      <c r="E83" s="2" t="s">
        <v>166</v>
      </c>
      <c r="F83" s="91"/>
      <c r="G83" s="48"/>
      <c r="H83" s="2" t="s">
        <v>60</v>
      </c>
      <c r="I83" s="92">
        <v>10</v>
      </c>
      <c r="J83" s="48"/>
      <c r="K83" s="22"/>
      <c r="L83" s="48"/>
      <c r="M83" s="48"/>
    </row>
    <row r="84" spans="1:13" ht="12.75">
      <c r="A84" s="2" t="s">
        <v>173</v>
      </c>
      <c r="B84" s="48"/>
      <c r="C84" s="89">
        <v>7</v>
      </c>
      <c r="D84" s="62"/>
      <c r="E84" s="2" t="s">
        <v>108</v>
      </c>
      <c r="F84" s="91"/>
      <c r="G84" s="48"/>
      <c r="H84" s="2" t="s">
        <v>61</v>
      </c>
      <c r="I84" s="92">
        <v>8</v>
      </c>
      <c r="J84" s="48"/>
      <c r="K84" s="48"/>
      <c r="L84" s="48"/>
      <c r="M84" s="48"/>
    </row>
    <row r="85" spans="1:13" ht="12.75">
      <c r="A85" s="2" t="s">
        <v>172</v>
      </c>
      <c r="B85" s="48"/>
      <c r="C85" s="90">
        <v>1.5</v>
      </c>
      <c r="D85" s="62"/>
      <c r="E85" s="2" t="s">
        <v>167</v>
      </c>
      <c r="F85" s="91"/>
      <c r="G85" s="48"/>
      <c r="H85" s="2" t="s">
        <v>62</v>
      </c>
      <c r="I85" s="92">
        <v>8</v>
      </c>
      <c r="J85" s="48"/>
      <c r="K85" s="48"/>
      <c r="L85" s="48"/>
      <c r="M85" s="48"/>
    </row>
    <row r="86" spans="1:13" ht="12.75">
      <c r="A86" s="2"/>
      <c r="B86" s="48"/>
      <c r="C86" s="70">
        <f>SUM(C83:C85)</f>
        <v>15.5</v>
      </c>
      <c r="D86" s="62"/>
      <c r="E86" s="2" t="s">
        <v>109</v>
      </c>
      <c r="F86" s="91"/>
      <c r="G86" s="48"/>
      <c r="H86" s="2" t="s">
        <v>59</v>
      </c>
      <c r="I86" s="92">
        <v>7.5</v>
      </c>
      <c r="J86" s="48"/>
      <c r="K86" s="22"/>
      <c r="L86" s="48"/>
      <c r="M86" s="48"/>
    </row>
    <row r="87" spans="1:13" ht="12.75">
      <c r="A87" s="48"/>
      <c r="B87" s="48"/>
      <c r="C87" s="48"/>
      <c r="D87" s="62"/>
      <c r="E87" s="2" t="s">
        <v>110</v>
      </c>
      <c r="F87" s="91"/>
      <c r="G87" s="48"/>
      <c r="H87" s="2" t="s">
        <v>63</v>
      </c>
      <c r="I87" s="92">
        <v>7</v>
      </c>
      <c r="J87" s="48"/>
      <c r="K87" s="22"/>
      <c r="L87" s="48"/>
      <c r="M87" s="48"/>
    </row>
    <row r="88" spans="1:13" ht="12.75">
      <c r="A88" s="48"/>
      <c r="B88" s="48"/>
      <c r="C88" s="48"/>
      <c r="D88" s="62"/>
      <c r="E88" s="2" t="s">
        <v>7</v>
      </c>
      <c r="F88" s="91"/>
      <c r="G88" s="48"/>
      <c r="H88" s="2" t="s">
        <v>65</v>
      </c>
      <c r="I88" s="92">
        <v>6</v>
      </c>
      <c r="J88" s="48"/>
      <c r="K88" s="22"/>
      <c r="L88" s="48"/>
      <c r="M88" s="48"/>
    </row>
    <row r="89" spans="1:13" ht="12.75">
      <c r="A89" s="22"/>
      <c r="B89" s="22"/>
      <c r="C89" s="22"/>
      <c r="D89" s="62"/>
      <c r="E89" s="2" t="s">
        <v>168</v>
      </c>
      <c r="F89" s="91"/>
      <c r="G89" s="48"/>
      <c r="H89" s="2" t="s">
        <v>12</v>
      </c>
      <c r="I89" s="92">
        <v>5</v>
      </c>
      <c r="J89" s="48"/>
      <c r="K89" s="22"/>
      <c r="L89" s="48"/>
      <c r="M89" s="48"/>
    </row>
    <row r="90" spans="1:13" ht="12.75">
      <c r="A90" s="24"/>
      <c r="B90" s="24"/>
      <c r="C90" s="24"/>
      <c r="D90" s="62"/>
      <c r="E90" s="2" t="s">
        <v>111</v>
      </c>
      <c r="F90" s="91"/>
      <c r="G90" s="48"/>
      <c r="H90" s="2" t="s">
        <v>66</v>
      </c>
      <c r="I90" s="92">
        <v>4</v>
      </c>
      <c r="J90" s="48"/>
      <c r="K90" s="22"/>
      <c r="L90" s="48"/>
      <c r="M90" s="48"/>
    </row>
    <row r="91" spans="1:13" ht="12.75">
      <c r="A91" s="24"/>
      <c r="B91" s="24"/>
      <c r="C91" s="24"/>
      <c r="D91" s="48"/>
      <c r="E91" s="2"/>
      <c r="F91" s="70">
        <f>SUM(F77:F90)</f>
        <v>0</v>
      </c>
      <c r="G91" s="48"/>
      <c r="H91" s="2" t="s">
        <v>64</v>
      </c>
      <c r="I91" s="92">
        <v>4</v>
      </c>
      <c r="J91" s="48"/>
      <c r="K91" s="22"/>
      <c r="L91" s="48"/>
      <c r="M91" s="48"/>
    </row>
    <row r="92" spans="1:13" ht="12.75">
      <c r="A92" s="15"/>
      <c r="B92" s="22"/>
      <c r="C92" s="22"/>
      <c r="D92" s="22"/>
      <c r="E92" s="22"/>
      <c r="F92" s="22"/>
      <c r="G92" s="22"/>
      <c r="H92" s="22"/>
      <c r="I92" s="1"/>
      <c r="J92" s="1"/>
      <c r="K92" s="22"/>
      <c r="L92" s="48"/>
      <c r="M92" s="48"/>
    </row>
    <row r="93" spans="1:13" ht="12.75">
      <c r="A93" s="15"/>
      <c r="B93" s="1"/>
      <c r="C93" s="1"/>
      <c r="D93" s="1"/>
      <c r="E93" s="1"/>
      <c r="F93" s="1"/>
      <c r="G93" s="1"/>
      <c r="H93" s="1"/>
      <c r="I93" s="1"/>
      <c r="J93" s="1"/>
      <c r="K93" s="1"/>
      <c r="L93" s="48"/>
      <c r="M93" s="48"/>
    </row>
    <row r="94" spans="1:13" ht="12.75">
      <c r="A94" s="15"/>
      <c r="B94" s="1"/>
      <c r="C94" s="1"/>
      <c r="D94" s="1"/>
      <c r="E94" s="1"/>
      <c r="F94" s="1"/>
      <c r="G94" s="1"/>
      <c r="H94" s="1"/>
      <c r="I94" s="1"/>
      <c r="J94" s="1"/>
      <c r="K94" s="1"/>
      <c r="L94" s="48"/>
      <c r="M94" s="48"/>
    </row>
    <row r="95" spans="1:13" ht="15.75">
      <c r="A95" s="100" t="s">
        <v>114</v>
      </c>
      <c r="B95" s="1"/>
      <c r="C95" s="1"/>
      <c r="D95" s="1"/>
      <c r="E95" s="48"/>
      <c r="F95" s="48"/>
      <c r="G95" s="48"/>
      <c r="H95" s="48"/>
      <c r="I95" s="48"/>
      <c r="J95" s="48"/>
      <c r="K95" s="48"/>
      <c r="L95" s="48"/>
      <c r="M95" s="48"/>
    </row>
    <row r="96" spans="1:13" ht="12.75">
      <c r="A96" s="48"/>
      <c r="B96" s="48"/>
      <c r="C96" s="48"/>
      <c r="D96" s="48"/>
      <c r="E96" s="48"/>
      <c r="F96" s="48"/>
      <c r="G96" s="48"/>
      <c r="H96" s="48"/>
      <c r="I96" s="48"/>
      <c r="J96" s="48"/>
      <c r="K96" s="48"/>
      <c r="L96" s="48"/>
      <c r="M96" s="48"/>
    </row>
    <row r="97" spans="1:13" ht="12.75">
      <c r="A97" s="2" t="s">
        <v>23</v>
      </c>
      <c r="B97" s="48"/>
      <c r="C97" s="93" t="s">
        <v>22</v>
      </c>
      <c r="D97" s="48"/>
      <c r="E97" s="2" t="s">
        <v>120</v>
      </c>
      <c r="F97" s="2"/>
      <c r="G97" s="48"/>
      <c r="H97" s="95" t="s">
        <v>22</v>
      </c>
      <c r="I97" s="48"/>
      <c r="J97" s="48"/>
      <c r="K97" s="48"/>
      <c r="L97" s="48"/>
      <c r="M97" s="48"/>
    </row>
    <row r="98" spans="1:13" ht="12.75">
      <c r="A98" s="2" t="s">
        <v>144</v>
      </c>
      <c r="B98" s="48"/>
      <c r="C98" s="58"/>
      <c r="D98" s="48"/>
      <c r="E98" s="2" t="s">
        <v>121</v>
      </c>
      <c r="F98" s="2"/>
      <c r="G98" s="48"/>
      <c r="H98" s="96"/>
      <c r="I98" s="48"/>
      <c r="J98" s="48"/>
      <c r="K98" s="48"/>
      <c r="L98" s="48"/>
      <c r="M98" s="48"/>
    </row>
    <row r="99" spans="1:13" ht="12.75">
      <c r="A99" s="1"/>
      <c r="B99" s="48"/>
      <c r="C99" s="94"/>
      <c r="D99" s="48"/>
      <c r="E99" s="2" t="s">
        <v>174</v>
      </c>
      <c r="F99" s="2"/>
      <c r="G99" s="48"/>
      <c r="H99" s="96"/>
      <c r="I99" s="48"/>
      <c r="J99" s="48"/>
      <c r="K99" s="22"/>
      <c r="L99" s="48"/>
      <c r="M99" s="48"/>
    </row>
    <row r="100" spans="1:13" ht="12.75">
      <c r="A100" s="2" t="s">
        <v>115</v>
      </c>
      <c r="B100" s="48"/>
      <c r="C100" s="58"/>
      <c r="D100" s="48"/>
      <c r="E100" s="2" t="s">
        <v>122</v>
      </c>
      <c r="F100" s="2"/>
      <c r="G100" s="48" t="s">
        <v>8</v>
      </c>
      <c r="H100" s="96"/>
      <c r="I100" s="48"/>
      <c r="J100" s="48"/>
      <c r="K100" s="22"/>
      <c r="L100" s="48"/>
      <c r="M100" s="48"/>
    </row>
    <row r="101" spans="1:13" ht="12.75">
      <c r="A101" s="2" t="s">
        <v>116</v>
      </c>
      <c r="B101" s="48"/>
      <c r="C101" s="95"/>
      <c r="D101" s="48"/>
      <c r="E101" s="2" t="s">
        <v>175</v>
      </c>
      <c r="F101" s="2"/>
      <c r="G101" s="48"/>
      <c r="H101" s="96"/>
      <c r="I101" s="48"/>
      <c r="J101" s="48"/>
      <c r="K101" s="22"/>
      <c r="L101" s="48"/>
      <c r="M101" s="48"/>
    </row>
    <row r="102" spans="1:13" ht="12.75">
      <c r="A102" s="2" t="s">
        <v>117</v>
      </c>
      <c r="B102" s="48"/>
      <c r="C102" s="58"/>
      <c r="D102" s="48"/>
      <c r="E102" s="1"/>
      <c r="F102" s="1"/>
      <c r="G102" s="48"/>
      <c r="H102" s="58"/>
      <c r="I102" s="48"/>
      <c r="J102" s="48"/>
      <c r="K102" s="22"/>
      <c r="L102" s="48"/>
      <c r="M102" s="48"/>
    </row>
    <row r="103" spans="1:13" ht="12.75">
      <c r="A103" s="2" t="s">
        <v>118</v>
      </c>
      <c r="B103" s="48"/>
      <c r="C103" s="58"/>
      <c r="D103" s="48"/>
      <c r="E103" s="1"/>
      <c r="F103" s="2"/>
      <c r="G103" s="48"/>
      <c r="H103" s="58"/>
      <c r="I103" s="56"/>
      <c r="J103" s="48"/>
      <c r="K103" s="22"/>
      <c r="L103" s="48"/>
      <c r="M103" s="48"/>
    </row>
    <row r="104" spans="1:13" ht="12.75">
      <c r="A104" s="2" t="s">
        <v>119</v>
      </c>
      <c r="B104" s="48"/>
      <c r="C104" s="58"/>
      <c r="D104" s="48"/>
      <c r="E104" s="48"/>
      <c r="F104" s="35"/>
      <c r="G104" s="48"/>
      <c r="H104" s="58"/>
      <c r="I104" s="56"/>
      <c r="J104" s="48"/>
      <c r="K104" s="22"/>
      <c r="L104" s="48"/>
      <c r="M104" s="48"/>
    </row>
    <row r="105" spans="1:13" ht="12.75">
      <c r="A105" s="1"/>
      <c r="B105" s="48"/>
      <c r="C105" s="48"/>
      <c r="D105" s="48"/>
      <c r="E105" s="48"/>
      <c r="F105" s="48"/>
      <c r="G105" s="48"/>
      <c r="H105" s="48"/>
      <c r="I105" s="56"/>
      <c r="J105" s="48"/>
      <c r="K105" s="22"/>
      <c r="L105" s="48"/>
      <c r="M105" s="48"/>
    </row>
    <row r="106" spans="1:13" ht="15.75">
      <c r="A106" s="10" t="s">
        <v>178</v>
      </c>
      <c r="B106" s="2"/>
      <c r="C106" s="36" t="s">
        <v>177</v>
      </c>
      <c r="D106" s="36" t="s">
        <v>123</v>
      </c>
      <c r="E106" s="36" t="s">
        <v>124</v>
      </c>
      <c r="F106" s="26" t="s">
        <v>176</v>
      </c>
      <c r="G106" s="36" t="s">
        <v>125</v>
      </c>
      <c r="H106" s="36" t="s">
        <v>126</v>
      </c>
      <c r="I106" s="36" t="s">
        <v>175</v>
      </c>
      <c r="J106" s="48"/>
      <c r="K106" s="22"/>
      <c r="L106" s="48"/>
      <c r="M106" s="48"/>
    </row>
    <row r="107" spans="1:13" ht="12.75">
      <c r="A107" s="1"/>
      <c r="B107" s="48"/>
      <c r="C107" s="39"/>
      <c r="D107" s="39"/>
      <c r="E107" s="39"/>
      <c r="F107" s="39"/>
      <c r="G107" s="39"/>
      <c r="H107" s="39"/>
      <c r="I107" s="39"/>
      <c r="J107" s="48"/>
      <c r="K107" s="22"/>
      <c r="L107" s="48"/>
      <c r="M107" s="48"/>
    </row>
    <row r="108" spans="1:13" ht="12.75">
      <c r="A108" s="1"/>
      <c r="B108" s="48"/>
      <c r="D108" s="56"/>
      <c r="F108" s="56"/>
      <c r="H108" s="56"/>
      <c r="I108" s="48"/>
      <c r="J108" s="53">
        <f>SUM(C107:I107)/7</f>
        <v>0</v>
      </c>
      <c r="K108" s="22"/>
      <c r="L108" s="48"/>
      <c r="M108" s="48"/>
    </row>
    <row r="109" spans="1:13" ht="15.75">
      <c r="A109" s="10" t="s">
        <v>127</v>
      </c>
      <c r="B109" s="1"/>
      <c r="C109" s="48"/>
      <c r="D109" s="48"/>
      <c r="E109" s="48"/>
      <c r="F109" s="48"/>
      <c r="G109" s="48"/>
      <c r="H109" s="48"/>
      <c r="I109" s="56"/>
      <c r="J109" s="48"/>
      <c r="K109" s="22"/>
      <c r="L109" s="48"/>
      <c r="M109" s="48"/>
    </row>
    <row r="110" spans="1:13" ht="15.75">
      <c r="A110" s="10"/>
      <c r="B110" s="2" t="s">
        <v>128</v>
      </c>
      <c r="C110" s="2"/>
      <c r="D110" s="39"/>
      <c r="E110" s="48"/>
      <c r="F110" s="2" t="s">
        <v>130</v>
      </c>
      <c r="G110" s="2"/>
      <c r="H110" s="73"/>
      <c r="I110" s="39"/>
      <c r="J110" s="48"/>
      <c r="K110" s="22"/>
      <c r="L110" s="48"/>
      <c r="M110" s="48"/>
    </row>
    <row r="111" spans="1:13" ht="12.75">
      <c r="A111" s="1"/>
      <c r="B111" s="2" t="s">
        <v>9</v>
      </c>
      <c r="C111" s="2"/>
      <c r="D111" s="39"/>
      <c r="E111" s="48"/>
      <c r="F111" s="2" t="s">
        <v>9</v>
      </c>
      <c r="G111" s="2"/>
      <c r="H111" s="2"/>
      <c r="I111" s="39"/>
      <c r="J111" s="48"/>
      <c r="K111" s="22"/>
      <c r="L111" s="48"/>
      <c r="M111" s="48"/>
    </row>
    <row r="112" spans="1:13" ht="12.75">
      <c r="A112" s="1"/>
      <c r="B112" s="2" t="s">
        <v>179</v>
      </c>
      <c r="C112" s="2"/>
      <c r="D112" s="39"/>
      <c r="E112" s="48"/>
      <c r="F112" s="2" t="s">
        <v>131</v>
      </c>
      <c r="G112" s="2"/>
      <c r="H112" s="2"/>
      <c r="I112" s="39"/>
      <c r="J112" s="48"/>
      <c r="K112" s="22"/>
      <c r="L112" s="48"/>
      <c r="M112" s="48"/>
    </row>
    <row r="113" spans="1:13" ht="12.75">
      <c r="A113" s="1"/>
      <c r="B113" s="2" t="s">
        <v>9</v>
      </c>
      <c r="C113" s="2"/>
      <c r="D113" s="39"/>
      <c r="E113" s="48"/>
      <c r="F113" s="2" t="s">
        <v>9</v>
      </c>
      <c r="G113" s="2"/>
      <c r="H113" s="2"/>
      <c r="I113" s="39"/>
      <c r="J113" s="48"/>
      <c r="K113" s="22"/>
      <c r="L113" s="48"/>
      <c r="M113" s="48"/>
    </row>
    <row r="114" spans="1:13" ht="12.75">
      <c r="A114" s="1"/>
      <c r="B114" s="2" t="s">
        <v>129</v>
      </c>
      <c r="C114" s="2"/>
      <c r="D114" s="39"/>
      <c r="E114" s="48"/>
      <c r="F114" s="2" t="s">
        <v>132</v>
      </c>
      <c r="G114" s="2"/>
      <c r="H114" s="2"/>
      <c r="I114" s="39"/>
      <c r="J114" s="48"/>
      <c r="K114" s="22"/>
      <c r="L114" s="48"/>
      <c r="M114" s="48"/>
    </row>
    <row r="115" spans="1:13" ht="12.75">
      <c r="A115" s="1"/>
      <c r="B115" s="48"/>
      <c r="C115" s="48"/>
      <c r="D115" s="48"/>
      <c r="E115" s="48"/>
      <c r="F115" s="48"/>
      <c r="G115" s="48"/>
      <c r="H115" s="48"/>
      <c r="I115" s="48"/>
      <c r="J115" s="48"/>
      <c r="K115" s="22"/>
      <c r="L115" s="48"/>
      <c r="M115" s="48"/>
    </row>
    <row r="116" spans="1:13" ht="12.75">
      <c r="A116" s="1"/>
      <c r="B116" s="48"/>
      <c r="C116" s="48"/>
      <c r="D116" s="48"/>
      <c r="E116" s="48"/>
      <c r="F116" s="48"/>
      <c r="G116" s="48"/>
      <c r="H116" s="48"/>
      <c r="I116" s="48"/>
      <c r="J116" s="48"/>
      <c r="K116" s="22"/>
      <c r="L116" s="48"/>
      <c r="M116" s="48"/>
    </row>
    <row r="117" spans="1:13" ht="15.75">
      <c r="A117" s="10" t="s">
        <v>133</v>
      </c>
      <c r="B117" s="2"/>
      <c r="C117" s="2"/>
      <c r="D117" s="48"/>
      <c r="E117" s="48"/>
      <c r="F117" s="48"/>
      <c r="G117" s="48"/>
      <c r="H117" s="48"/>
      <c r="I117" s="48"/>
      <c r="J117" s="48" t="s">
        <v>0</v>
      </c>
      <c r="K117" s="22"/>
      <c r="L117" s="48"/>
      <c r="M117" s="48"/>
    </row>
    <row r="118" spans="1:13" ht="12.75">
      <c r="A118" s="1"/>
      <c r="B118" s="2"/>
      <c r="C118" s="2"/>
      <c r="D118" s="48"/>
      <c r="E118" s="48"/>
      <c r="F118" s="48"/>
      <c r="G118" s="102"/>
      <c r="H118" s="102"/>
      <c r="I118" s="48"/>
      <c r="J118" s="48"/>
      <c r="K118" s="22"/>
      <c r="L118" s="48"/>
      <c r="M118" s="48"/>
    </row>
    <row r="119" spans="1:13" ht="12.75">
      <c r="A119" s="1"/>
      <c r="B119" s="82" t="s">
        <v>19</v>
      </c>
      <c r="C119" s="36" t="s">
        <v>143</v>
      </c>
      <c r="D119" s="7" t="s">
        <v>134</v>
      </c>
      <c r="E119" s="3" t="s">
        <v>138</v>
      </c>
      <c r="F119" s="3" t="s">
        <v>139</v>
      </c>
      <c r="G119" s="38" t="s">
        <v>140</v>
      </c>
      <c r="H119" s="3" t="s">
        <v>142</v>
      </c>
      <c r="I119" s="7" t="s">
        <v>74</v>
      </c>
      <c r="J119" s="7" t="s">
        <v>141</v>
      </c>
      <c r="K119" s="22"/>
      <c r="L119" s="48"/>
      <c r="M119" s="48"/>
    </row>
    <row r="120" spans="1:13" ht="12.75">
      <c r="A120" s="1"/>
      <c r="B120" s="35" t="s">
        <v>9</v>
      </c>
      <c r="C120" s="2"/>
      <c r="D120" s="39"/>
      <c r="E120" s="92">
        <v>12</v>
      </c>
      <c r="F120" s="92">
        <v>17</v>
      </c>
      <c r="G120" s="3">
        <v>10</v>
      </c>
      <c r="H120" s="3">
        <v>10.5</v>
      </c>
      <c r="I120" s="39"/>
      <c r="J120" s="3">
        <f>ROUND(J121,0)</f>
        <v>5</v>
      </c>
      <c r="K120" s="22"/>
      <c r="L120" s="53"/>
      <c r="M120" s="48"/>
    </row>
    <row r="121" spans="1:13" ht="12.75">
      <c r="A121" s="1"/>
      <c r="B121" s="35"/>
      <c r="C121" s="2"/>
      <c r="D121" s="48"/>
      <c r="E121" s="48"/>
      <c r="F121" s="53">
        <f>(F120-E120)*D120/3</f>
        <v>0</v>
      </c>
      <c r="G121" s="55">
        <f>G120*2</f>
        <v>20</v>
      </c>
      <c r="H121" s="55">
        <f>H120/2.3</f>
        <v>4.565217391304349</v>
      </c>
      <c r="I121" s="48"/>
      <c r="J121" s="53">
        <f>((F120-E120)+(D120*5)+(I120+G120*2+H120))/7</f>
        <v>5.071428571428571</v>
      </c>
      <c r="K121" s="22"/>
      <c r="L121" s="55">
        <f>SUM(F121:H121)/3</f>
        <v>8.18840579710145</v>
      </c>
      <c r="M121" s="48"/>
    </row>
    <row r="122" spans="1:13" ht="12.75">
      <c r="A122" s="15"/>
      <c r="B122" s="82" t="s">
        <v>17</v>
      </c>
      <c r="C122" s="36" t="s">
        <v>143</v>
      </c>
      <c r="D122" s="101" t="s">
        <v>135</v>
      </c>
      <c r="E122" s="3" t="s">
        <v>138</v>
      </c>
      <c r="F122" s="3" t="s">
        <v>139</v>
      </c>
      <c r="G122" s="27"/>
      <c r="H122" s="27"/>
      <c r="I122" s="3"/>
      <c r="J122" s="3"/>
      <c r="K122" s="22"/>
      <c r="L122" s="53"/>
      <c r="M122" s="48"/>
    </row>
    <row r="123" spans="1:13" ht="12.75">
      <c r="A123" s="15"/>
      <c r="B123" s="35" t="s">
        <v>9</v>
      </c>
      <c r="C123" s="2"/>
      <c r="D123" s="39"/>
      <c r="E123" s="92">
        <v>18</v>
      </c>
      <c r="F123" s="92">
        <v>35</v>
      </c>
      <c r="G123" s="3">
        <v>4</v>
      </c>
      <c r="H123" s="3">
        <v>30</v>
      </c>
      <c r="I123" s="39"/>
      <c r="J123" s="3">
        <f>ROUND(J124,0)</f>
        <v>7</v>
      </c>
      <c r="K123" s="22"/>
      <c r="L123" s="53"/>
      <c r="M123" s="48"/>
    </row>
    <row r="124" spans="1:13" ht="12.75">
      <c r="A124" s="15"/>
      <c r="B124" s="35"/>
      <c r="C124" s="2"/>
      <c r="D124" s="48"/>
      <c r="E124" s="48"/>
      <c r="F124" s="53">
        <f>(F123-E123)*D123/3</f>
        <v>0</v>
      </c>
      <c r="G124" s="55">
        <f>G123*2</f>
        <v>8</v>
      </c>
      <c r="H124" s="55">
        <f>H123/2.3</f>
        <v>13.043478260869566</v>
      </c>
      <c r="I124" s="48"/>
      <c r="J124" s="55">
        <f>((F123-E123)+(D123*5)+(I123+G123+H123))/7</f>
        <v>7.285714285714286</v>
      </c>
      <c r="K124" s="22"/>
      <c r="L124" s="55">
        <f>SUM(F124:H124)/3</f>
        <v>7.0144927536231885</v>
      </c>
      <c r="M124" s="48"/>
    </row>
    <row r="125" spans="1:13" ht="12.75">
      <c r="A125" s="15"/>
      <c r="B125" s="82" t="s">
        <v>18</v>
      </c>
      <c r="C125" s="36" t="s">
        <v>143</v>
      </c>
      <c r="D125" s="101" t="s">
        <v>135</v>
      </c>
      <c r="E125" s="3" t="s">
        <v>138</v>
      </c>
      <c r="F125" s="3" t="s">
        <v>139</v>
      </c>
      <c r="G125" s="27"/>
      <c r="H125" s="27"/>
      <c r="I125" s="27"/>
      <c r="J125" s="27"/>
      <c r="K125" s="22"/>
      <c r="L125" s="53"/>
      <c r="M125" s="48"/>
    </row>
    <row r="126" spans="1:13" ht="12.75">
      <c r="A126" s="15"/>
      <c r="B126" s="35"/>
      <c r="C126" s="2"/>
      <c r="D126" s="39"/>
      <c r="E126" s="92">
        <v>36</v>
      </c>
      <c r="F126" s="92">
        <v>50</v>
      </c>
      <c r="G126" s="3">
        <v>2</v>
      </c>
      <c r="H126" s="3">
        <v>26.5</v>
      </c>
      <c r="I126" s="39"/>
      <c r="J126" s="3">
        <f>ROUND(J127,0)</f>
        <v>6</v>
      </c>
      <c r="K126" s="22"/>
      <c r="L126" s="53"/>
      <c r="M126" s="48"/>
    </row>
    <row r="127" spans="1:13" ht="12.75">
      <c r="A127" s="15"/>
      <c r="B127" s="35"/>
      <c r="C127" s="1"/>
      <c r="D127" s="48"/>
      <c r="E127" s="48"/>
      <c r="F127" s="53">
        <f>(F126-E126)*D126/3</f>
        <v>0</v>
      </c>
      <c r="G127" s="55">
        <f>G126*2</f>
        <v>4</v>
      </c>
      <c r="H127" s="55">
        <f>H126/2.3</f>
        <v>11.521739130434783</v>
      </c>
      <c r="I127" s="53">
        <f>SUM(I120:I126)/3</f>
        <v>0</v>
      </c>
      <c r="J127" s="55">
        <f>((F126-E126)+(D126*5)+(I126+G126+H126))/7</f>
        <v>6.071428571428571</v>
      </c>
      <c r="K127" s="22"/>
      <c r="L127" s="53">
        <f>SUM(E127:H127)/3</f>
        <v>5.173913043478261</v>
      </c>
      <c r="M127" s="48"/>
    </row>
    <row r="128" spans="1:13" ht="12.75">
      <c r="A128" s="15"/>
      <c r="B128" s="82" t="s">
        <v>20</v>
      </c>
      <c r="C128" s="36" t="s">
        <v>143</v>
      </c>
      <c r="D128" s="7" t="s">
        <v>136</v>
      </c>
      <c r="E128" s="3" t="s">
        <v>138</v>
      </c>
      <c r="F128" s="3" t="s">
        <v>139</v>
      </c>
      <c r="G128" s="27"/>
      <c r="H128" s="27"/>
      <c r="I128" s="27"/>
      <c r="J128" s="27"/>
      <c r="K128" s="22"/>
      <c r="L128" s="53"/>
      <c r="M128" s="48"/>
    </row>
    <row r="129" spans="1:13" ht="12.75">
      <c r="A129" s="15"/>
      <c r="B129" s="35"/>
      <c r="C129" s="1"/>
      <c r="D129" s="39"/>
      <c r="E129" s="92">
        <v>5</v>
      </c>
      <c r="F129" s="92">
        <v>11</v>
      </c>
      <c r="G129" s="3">
        <v>3</v>
      </c>
      <c r="H129" s="3">
        <v>12</v>
      </c>
      <c r="I129" s="39"/>
      <c r="J129" s="3">
        <f>ROUND(J130,0)</f>
        <v>3</v>
      </c>
      <c r="K129" s="22"/>
      <c r="L129" s="53"/>
      <c r="M129" s="48"/>
    </row>
    <row r="130" spans="1:13" ht="12.75">
      <c r="A130" s="15"/>
      <c r="B130" s="35"/>
      <c r="C130" s="1"/>
      <c r="D130" s="56"/>
      <c r="E130" s="48"/>
      <c r="F130" s="53">
        <f>(F129-E129)*D129/3</f>
        <v>0</v>
      </c>
      <c r="G130" s="55">
        <f>G129*2</f>
        <v>6</v>
      </c>
      <c r="H130" s="55">
        <f>H129/2.3</f>
        <v>5.217391304347826</v>
      </c>
      <c r="I130" s="48"/>
      <c r="J130" s="55">
        <f>((F129-E129)+(D129*5)+(I129+G129+H129))/7</f>
        <v>3</v>
      </c>
      <c r="K130" s="22"/>
      <c r="L130" s="53">
        <f>SUM(F130:H130)/3</f>
        <v>3.739130434782609</v>
      </c>
      <c r="M130" s="48"/>
    </row>
    <row r="131" spans="1:13" ht="12.75">
      <c r="A131" s="15"/>
      <c r="B131" s="82" t="s">
        <v>21</v>
      </c>
      <c r="C131" s="36" t="s">
        <v>143</v>
      </c>
      <c r="D131" s="7" t="s">
        <v>137</v>
      </c>
      <c r="E131" s="3" t="s">
        <v>138</v>
      </c>
      <c r="F131" s="3" t="s">
        <v>139</v>
      </c>
      <c r="G131" s="27"/>
      <c r="H131" s="27"/>
      <c r="I131" s="27"/>
      <c r="J131" s="27"/>
      <c r="K131" s="22"/>
      <c r="L131" s="53"/>
      <c r="M131" s="48"/>
    </row>
    <row r="132" spans="1:13" ht="12.75">
      <c r="A132" s="15"/>
      <c r="B132" s="1"/>
      <c r="C132" s="1"/>
      <c r="D132" s="39"/>
      <c r="E132" s="92">
        <v>51</v>
      </c>
      <c r="F132" s="92">
        <v>70</v>
      </c>
      <c r="G132" s="3">
        <v>1</v>
      </c>
      <c r="H132" s="3">
        <v>21</v>
      </c>
      <c r="I132" s="39"/>
      <c r="J132" s="3">
        <f>ROUND(J133,0)</f>
        <v>3</v>
      </c>
      <c r="K132" s="22"/>
      <c r="L132" s="53"/>
      <c r="M132" s="48"/>
    </row>
    <row r="133" spans="1:13" ht="12.75">
      <c r="A133" s="15"/>
      <c r="B133" s="48"/>
      <c r="C133" s="48"/>
      <c r="D133" s="48"/>
      <c r="E133" s="48"/>
      <c r="F133" s="48"/>
      <c r="G133" s="53">
        <f>(F132-E132)*D132/3</f>
        <v>0</v>
      </c>
      <c r="H133" s="55">
        <f>G132*2</f>
        <v>2</v>
      </c>
      <c r="I133" s="53">
        <f>H132/2.3</f>
        <v>9.130434782608697</v>
      </c>
      <c r="J133" s="53">
        <f>((F132-E132)+(D132*5)+(I132+G132+H132))/14</f>
        <v>2.9285714285714284</v>
      </c>
      <c r="K133" s="29">
        <f>((F132-E132)*D132+(I132+G132+H132))/7</f>
        <v>3.142857142857143</v>
      </c>
      <c r="L133" s="53">
        <f>SUM(G133:I133)/3</f>
        <v>3.7101449275362324</v>
      </c>
      <c r="M133" s="48"/>
    </row>
    <row r="134" spans="1:13" ht="12.75">
      <c r="A134" s="15"/>
      <c r="B134" s="1"/>
      <c r="C134" s="1"/>
      <c r="D134" s="1"/>
      <c r="E134" s="1"/>
      <c r="F134" s="1"/>
      <c r="G134" s="1"/>
      <c r="H134" s="1"/>
      <c r="I134" s="1"/>
      <c r="J134" s="1"/>
      <c r="K134" s="22"/>
      <c r="L134" s="53"/>
      <c r="M134" s="48"/>
    </row>
    <row r="135" spans="1:13" ht="12.75">
      <c r="A135" s="15"/>
      <c r="B135" s="1"/>
      <c r="C135" s="1"/>
      <c r="D135" s="1"/>
      <c r="E135" s="1"/>
      <c r="F135" s="1"/>
      <c r="G135" s="1"/>
      <c r="H135" s="1"/>
      <c r="I135" s="1"/>
      <c r="J135" s="1"/>
      <c r="K135" s="22"/>
      <c r="L135" s="48"/>
      <c r="M135" s="48"/>
    </row>
    <row r="136" spans="1:13" ht="12.75">
      <c r="A136" s="15"/>
      <c r="B136" s="1"/>
      <c r="C136" s="1"/>
      <c r="D136" s="1"/>
      <c r="E136" s="1"/>
      <c r="F136" s="1"/>
      <c r="G136" s="1"/>
      <c r="H136" s="1"/>
      <c r="I136" s="1" t="s">
        <v>16</v>
      </c>
      <c r="J136" s="1"/>
      <c r="K136" s="22"/>
      <c r="L136" s="48"/>
      <c r="M136" s="48"/>
    </row>
    <row r="137" spans="1:13" ht="12.75">
      <c r="A137" s="22"/>
      <c r="B137" s="22"/>
      <c r="C137" s="22"/>
      <c r="D137" s="22"/>
      <c r="E137" s="1"/>
      <c r="F137" s="1"/>
      <c r="G137" s="1"/>
      <c r="H137" s="1"/>
      <c r="I137" s="1"/>
      <c r="J137" s="1"/>
      <c r="K137" s="1"/>
      <c r="L137" s="48"/>
      <c r="M137" s="48"/>
    </row>
    <row r="138" spans="1:13" ht="12.75">
      <c r="A138" s="48"/>
      <c r="B138" s="48"/>
      <c r="C138" s="48"/>
      <c r="D138" s="48"/>
      <c r="E138" s="48"/>
      <c r="F138" s="48"/>
      <c r="G138" s="48"/>
      <c r="H138" s="48"/>
      <c r="I138" s="48"/>
      <c r="J138" s="48"/>
      <c r="K138" s="48"/>
      <c r="L138" s="48"/>
      <c r="M138" s="48"/>
    </row>
    <row r="139" spans="1:13" ht="12.75">
      <c r="A139" s="48"/>
      <c r="B139" s="48"/>
      <c r="C139" s="48"/>
      <c r="D139" s="48"/>
      <c r="E139" s="48"/>
      <c r="F139" s="48"/>
      <c r="G139" s="48"/>
      <c r="H139" s="48"/>
      <c r="I139" s="48"/>
      <c r="J139" s="48"/>
      <c r="K139" s="48"/>
      <c r="L139" s="48"/>
      <c r="M139" s="48"/>
    </row>
    <row r="140" spans="1:13" ht="12.75">
      <c r="A140" s="48"/>
      <c r="B140" s="48"/>
      <c r="C140" s="48"/>
      <c r="D140" s="48"/>
      <c r="E140" s="48"/>
      <c r="F140" s="48"/>
      <c r="G140" s="48"/>
      <c r="H140" s="48"/>
      <c r="I140" s="48"/>
      <c r="J140" s="48"/>
      <c r="K140" s="48"/>
      <c r="L140" s="48"/>
      <c r="M140" s="48"/>
    </row>
    <row r="141" spans="1:13" ht="12.75">
      <c r="A141" s="48"/>
      <c r="B141" s="48"/>
      <c r="C141" s="48"/>
      <c r="D141" s="48"/>
      <c r="E141" s="48"/>
      <c r="F141" s="48"/>
      <c r="G141" s="48"/>
      <c r="H141" s="48"/>
      <c r="I141" s="48"/>
      <c r="J141" s="48"/>
      <c r="K141" s="48"/>
      <c r="L141" s="48"/>
      <c r="M141" s="48"/>
    </row>
    <row r="142" spans="1:13" ht="12.75">
      <c r="A142" s="48"/>
      <c r="B142" s="48"/>
      <c r="C142" s="48"/>
      <c r="D142" s="48"/>
      <c r="E142" s="48"/>
      <c r="F142" s="48"/>
      <c r="G142" s="48"/>
      <c r="H142" s="48"/>
      <c r="I142" s="48"/>
      <c r="J142" s="48"/>
      <c r="K142" s="48"/>
      <c r="L142" s="48"/>
      <c r="M142" s="48"/>
    </row>
  </sheetData>
  <hyperlinks>
    <hyperlink ref="E71" r:id="rId1" display="http://www.quicksummer.com/exceldoc/Projections_in_504/resonaceactivityprojectionsJune.xls"/>
    <hyperlink ref="E72" r:id="rId2" display="http://www.quicksummer.com/exceldoc/Projections_in_504/resonacecashflowprojectionsJune.xls"/>
  </hyperlinks>
  <printOptions/>
  <pageMargins left="0.75" right="0.75" top="1" bottom="1" header="0.5" footer="0.5"/>
  <pageSetup horizontalDpi="600" verticalDpi="600" orientation="portrait" paperSize="9" r:id="rId5"/>
  <legacyDrawing r:id="rId4"/>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Jaanus Silla</dc:creator>
  <cp:keywords/>
  <dc:description/>
  <cp:lastModifiedBy>Jaanus Silla</cp:lastModifiedBy>
  <dcterms:created xsi:type="dcterms:W3CDTF">2003-08-15T09:47:24Z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